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grhee\"/>
    </mc:Choice>
  </mc:AlternateContent>
  <bookViews>
    <workbookView xWindow="0" yWindow="0" windowWidth="29010" windowHeight="14145" tabRatio="413"/>
  </bookViews>
  <sheets>
    <sheet name="UKE_33_2020" sheetId="1" r:id="rId1"/>
  </sheets>
  <definedNames>
    <definedName name="Z_14D440E4_F18A_4F78_9989_38C1B133222D_.wvu.Cols" localSheetId="0" hidden="1">UKE_33_2020!#REF!</definedName>
    <definedName name="Z_14D440E4_F18A_4F78_9989_38C1B133222D_.wvu.PrintArea" localSheetId="0" hidden="1">UKE_33_2020!$B$1:$M$249</definedName>
    <definedName name="Z_14D440E4_F18A_4F78_9989_38C1B133222D_.wvu.Rows" localSheetId="0" hidden="1">UKE_33_2020!$361:$1048576,UKE_33_2020!$250:$360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G32" i="1" l="1"/>
  <c r="G31" i="1" s="1"/>
  <c r="J32" i="1" l="1"/>
  <c r="F36" i="1" l="1"/>
  <c r="F32" i="1" s="1"/>
  <c r="F31" i="1" s="1"/>
  <c r="F178" i="1" l="1"/>
  <c r="G178" i="1"/>
  <c r="I119" i="1" l="1"/>
  <c r="F24" i="1"/>
  <c r="I132" i="1" l="1"/>
  <c r="D229" i="1" l="1"/>
  <c r="J24" i="1" l="1"/>
  <c r="J31" i="1" l="1"/>
  <c r="J23" i="1" s="1"/>
  <c r="G33" i="1" l="1"/>
  <c r="F33" i="1" s="1"/>
  <c r="G29" i="1" l="1"/>
  <c r="F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<sst xmlns="http://schemas.openxmlformats.org/spreadsheetml/2006/main" count="257" uniqueCount="134">
  <si>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</si>
  <si>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</si>
  <si>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</si>
  <si>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</si>
  <si>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</si>
  <si>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</si>
  <si>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</si>
  <si>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</si>
  <si>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</si>
  <si>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</si>
  <si>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</si>
  <si>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</si>
  <si>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</si>
  <si>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</si>
  <si>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</si>
  <si>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</si>
  <si>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</si>
  <si>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</si>
  <si>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</si>
  <si>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</si>
  <si>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</si>
  <si>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</si>
  <si>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</si>
  <si>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</si>
  <si>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</si>
  <si>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</si>
  <si>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</si>
  <si>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</si>
  <si>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</si>
  <si>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</si>
  <si>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</si>
  <si>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</si>
  <si>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</si>
  <si>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</si>
  <si>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</si>
  <si>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</si>
  <si>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</si>
  <si>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</si>
  <si>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</si>
  <si>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</si>
  <si>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</si>
  <si>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</si>
  <si>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</si>
  <si>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</si>
  <si>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</si>
  <si>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</si>
  <si>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</si>
  <si>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</si>
  <si>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</si>
  <si>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</si>
  <si>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</si>
  <si>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</si>
  <si>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</si>
  <si>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</si>
  <si>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</si>
  <si>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</si>
  <si>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</si>
  <si>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</si>
  <si>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</si>
  <si>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</si>
  <si>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</si>
  <si>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</si>
  <si>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</si>
  <si>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</si>
  <si>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</si>
  <si>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</si>
  <si>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</si>
  <si>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</si>
  <si>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</si>
  <si>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</si>
  <si>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</si>
  <si>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</si>
  <si>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</si>
  <si>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</si>
  <si>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</si>
  <si>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</si>
  <si>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</si>
  <si>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</si>
  <si>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</si>
  <si>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</si>
  <si>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</si>
  <si>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</si>
  <si>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</si>
  <si>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</si>
  <si>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</si>
  <si>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</si>
  <si>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</si>
  <si>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</si>
  <si>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</si>
  <si>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</si>
  <si>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</si>
  <si>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</si>
  <si>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</si>
  <si>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</si>
  <si>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</si>
  <si>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</si>
  <si>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</si>
  <si>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</si>
  <si>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</si>
  <si>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</si>
  <si>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</si>
  <si>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</si>
  <si>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</si>
  <si>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</si>
  <si>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</si>
  <si>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</si>
  <si>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</si>
  <si>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</si>
  <si>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</si>
  <si>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</si>
  <si>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</si>
  <si>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</si>
  <si>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</si>
  <si>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</si>
  <si>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</si>
  <si>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</si>
  <si>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</si>
  <si>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</si>
  <si>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</si>
  <si>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</si>
  <si>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</si>
  <si>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</si>
  <si>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</si>
  <si>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</si>
  <si>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</si>
  <si>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</si>
  <si>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</si>
  <si>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</si>
  <si>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3 </t>
    </r>
    <r>
      <rPr>
        <sz val="9"/>
        <color theme="1"/>
        <rFont val="Calibri"/>
        <family val="2"/>
      </rPr>
      <t>Registrert rekreasjonsfiske utgjør 2 129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</si>
  <si>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51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</si>
  <si>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454 tonn, men det legges til grunn at hele avsetningen tas</t>
    </r>
  </si>
  <si>
    <t>LANDET KVANTUM UKE 33</t>
  </si>
  <si>
    <t>LANDET KVANTUM T.O.M UKE 33</t>
  </si>
  <si>
    <t>LANDET KVANTUM T.O.M. UKE 33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</si>
</sst>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topLeftCell="A13" zoomScaleNormal="115" workbookViewId="0">
      <selection activeCell="H42" sqref="H42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23" t="s">
        <v>101</v>
      </c>
      <c r="C2" s="424"/>
      <c r="D2" s="424"/>
      <c r="E2" s="424"/>
      <c r="F2" s="424"/>
      <c r="G2" s="424"/>
      <c r="H2" s="424"/>
      <c r="I2" s="424"/>
      <c r="J2" s="424"/>
      <c r="K2" s="425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370" t="s">
        <v>97</v>
      </c>
      <c r="F19" s="370" t="s">
        <v>131</v>
      </c>
      <c r="G19" s="370" t="s">
        <v>132</v>
      </c>
      <c r="H19" s="370" t="s">
        <v>69</v>
      </c>
      <c r="I19" s="370" t="s">
        <v>62</v>
      </c>
      <c r="J19" s="370" t="s">
        <v>133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371">
        <f>E22+E21</f>
        <v>105976</v>
      </c>
      <c r="F20" s="371">
        <f>F22+F21</f>
        <v>799.36951999999997</v>
      </c>
      <c r="G20" s="371">
        <f>G21+G22</f>
        <v>63668.473539999999</v>
      </c>
      <c r="H20" s="371"/>
      <c r="I20" s="371">
        <f>I22+I21</f>
        <v>42307.526460000001</v>
      </c>
      <c r="J20" s="371">
        <f>J22+J21</f>
        <v>56865.158790000001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372">
        <v>105175</v>
      </c>
      <c r="F21" s="372">
        <v>796.52851999999996</v>
      </c>
      <c r="G21" s="372">
        <v>63363.283539999997</v>
      </c>
      <c r="H21" s="372"/>
      <c r="I21" s="372">
        <f>E21-G21</f>
        <v>41811.716460000003</v>
      </c>
      <c r="J21" s="372">
        <v>56352.953110000002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373">
        <v>801</v>
      </c>
      <c r="F22" s="373">
        <v>2.8410000000000002</v>
      </c>
      <c r="G22" s="373">
        <v>305.19</v>
      </c>
      <c r="H22" s="373"/>
      <c r="I22" s="373">
        <f>E22-G22</f>
        <v>495.81</v>
      </c>
      <c r="J22" s="373">
        <v>512.20568000000003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371">
        <f>E31+E30+E24</f>
        <v>213782</v>
      </c>
      <c r="F23" s="371">
        <f>F31+F30+F24</f>
        <v>822.50247999999999</v>
      </c>
      <c r="G23" s="371">
        <f>G24+G30+G31</f>
        <v>188924.76570999998</v>
      </c>
      <c r="H23" s="371"/>
      <c r="I23" s="371">
        <f>I24+I30+I31</f>
        <v>24857.234290000004</v>
      </c>
      <c r="J23" s="371">
        <f>J24+J30+J31</f>
        <v>187307.23109799999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374">
        <f>E25+E26+E27+E28+E29</f>
        <v>165351</v>
      </c>
      <c r="F24" s="374">
        <f>F25+F26+F27+F28</f>
        <v>639.67687000000001</v>
      </c>
      <c r="G24" s="374">
        <f>G25+G26+G27+G28</f>
        <v>149718.52724</v>
      </c>
      <c r="H24" s="374"/>
      <c r="I24" s="374">
        <f>I25+I26+I27+I28+I29</f>
        <v>15632.472760000004</v>
      </c>
      <c r="J24" s="374">
        <f>J25+J26+J27+J28</f>
        <v>153174.988908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375">
        <v>39029</v>
      </c>
      <c r="F25" s="375">
        <v>124.70616</v>
      </c>
      <c r="G25" s="375">
        <v>39102.21099</v>
      </c>
      <c r="H25" s="375">
        <v>1551</v>
      </c>
      <c r="I25" s="375">
        <f>E25-G25+H25</f>
        <v>1477.7890100000004</v>
      </c>
      <c r="J25" s="375">
        <v>42307.421990000003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375">
        <v>41911</v>
      </c>
      <c r="F26" s="375">
        <v>192.25807</v>
      </c>
      <c r="G26" s="375">
        <v>40142.480969999997</v>
      </c>
      <c r="H26" s="375">
        <v>1784</v>
      </c>
      <c r="I26" s="375">
        <f>E26-G26+H26</f>
        <v>3552.5190300000031</v>
      </c>
      <c r="J26" s="375">
        <v>41477.922500000001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375">
        <v>42357</v>
      </c>
      <c r="F27" s="375">
        <v>240.82336000000001</v>
      </c>
      <c r="G27" s="375">
        <v>42286.269209999999</v>
      </c>
      <c r="H27" s="375">
        <v>2527</v>
      </c>
      <c r="I27" s="375">
        <f>E27-G27+H27</f>
        <v>2597.7307900000014</v>
      </c>
      <c r="J27" s="375">
        <v>40123.010571999999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375">
        <v>28468</v>
      </c>
      <c r="F28" s="375">
        <v>81.889279999999999</v>
      </c>
      <c r="G28" s="375">
        <v>28187.566070000001</v>
      </c>
      <c r="H28" s="375">
        <v>1382</v>
      </c>
      <c r="I28" s="375">
        <f>E28-G28+H28</f>
        <v>1662.4339299999992</v>
      </c>
      <c r="J28" s="375">
        <v>29266.633846000001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375">
        <v>13586</v>
      </c>
      <c r="F29" s="375">
        <f>G29-6655</f>
        <v>589</v>
      </c>
      <c r="G29" s="375">
        <f>H25+H26+H27+H28</f>
        <v>7244</v>
      </c>
      <c r="H29" s="375"/>
      <c r="I29" s="375">
        <f>E29-G29</f>
        <v>6342</v>
      </c>
      <c r="J29" s="375">
        <v>6179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374">
        <v>28138</v>
      </c>
      <c r="F30" s="374">
        <v>92.8005</v>
      </c>
      <c r="G30" s="374">
        <v>19278.683649999999</v>
      </c>
      <c r="H30" s="374"/>
      <c r="I30" s="374">
        <f>E30-G30</f>
        <v>8859.316350000001</v>
      </c>
      <c r="J30" s="374">
        <v>15513.173220000001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374">
        <f>E32+E33</f>
        <v>20293</v>
      </c>
      <c r="F31" s="374">
        <f>F32</f>
        <v>90.025109999999998</v>
      </c>
      <c r="G31" s="374">
        <f>G32</f>
        <v>19927.554820000001</v>
      </c>
      <c r="H31" s="374"/>
      <c r="I31" s="374">
        <f>I32+I33</f>
        <v>365.4451799999988</v>
      </c>
      <c r="J31" s="374">
        <f>J32</f>
        <v>18619.06897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375">
        <v>18423</v>
      </c>
      <c r="F32" s="375">
        <f>113.02511-F36</f>
        <v>90.025109999999998</v>
      </c>
      <c r="G32" s="375">
        <f>23017.55482-G36</f>
        <v>19927.554820000001</v>
      </c>
      <c r="H32" s="375">
        <v>1072</v>
      </c>
      <c r="I32" s="375">
        <f>E32-G32+H32</f>
        <v>-432.5548200000012</v>
      </c>
      <c r="J32" s="375">
        <f>21981.06897-J36</f>
        <v>18619.06897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376">
        <v>1870</v>
      </c>
      <c r="F33" s="376">
        <f>G33-1017</f>
        <v>55</v>
      </c>
      <c r="G33" s="376">
        <f>H32</f>
        <v>1072</v>
      </c>
      <c r="H33" s="376"/>
      <c r="I33" s="376">
        <f t="shared" ref="I33:I38" si="0">E33-G33</f>
        <v>798</v>
      </c>
      <c r="J33" s="376">
        <v>708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377">
        <v>2500</v>
      </c>
      <c r="F34" s="377">
        <v>0</v>
      </c>
      <c r="G34" s="377">
        <v>1207.3480500000001</v>
      </c>
      <c r="H34" s="377"/>
      <c r="I34" s="377">
        <f t="shared" si="0"/>
        <v>1292.6519499999999</v>
      </c>
      <c r="J34" s="377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377">
        <v>933</v>
      </c>
      <c r="F35" s="377"/>
      <c r="G35" s="377">
        <v>460.29809</v>
      </c>
      <c r="H35" s="377"/>
      <c r="I35" s="377">
        <f t="shared" si="0"/>
        <v>472.70191</v>
      </c>
      <c r="J35" s="377">
        <v>458.32035999999999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378">
        <v>3000</v>
      </c>
      <c r="F36" s="378">
        <f>G36-3067</f>
        <v>23</v>
      </c>
      <c r="G36" s="378">
        <v>3090</v>
      </c>
      <c r="H36" s="378"/>
      <c r="I36" s="378">
        <f t="shared" si="0"/>
        <v>-90</v>
      </c>
      <c r="J36" s="378">
        <v>3362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378">
        <v>7000</v>
      </c>
      <c r="F37" s="378">
        <v>10.43642</v>
      </c>
      <c r="G37" s="378">
        <v>7000</v>
      </c>
      <c r="H37" s="378"/>
      <c r="I37" s="378">
        <f t="shared" si="0"/>
        <v>0</v>
      </c>
      <c r="J37" s="378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378">
        <v>0</v>
      </c>
      <c r="F38" s="378"/>
      <c r="G38" s="378">
        <v>87</v>
      </c>
      <c r="H38" s="378"/>
      <c r="I38" s="378">
        <f t="shared" si="0"/>
        <v>-87</v>
      </c>
      <c r="J38" s="378">
        <v>-16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40">
        <f>E20+E23+E34+E35+E36+E37+E38</f>
        <v>333191</v>
      </c>
      <c r="F39" s="340">
        <f>F20+F23+F34+F35+F37+F38+F36</f>
        <v>1655.3084199999998</v>
      </c>
      <c r="G39" s="340">
        <f>G20+G23+G34+G35+G36+G37+G38</f>
        <v>264437.88538999995</v>
      </c>
      <c r="H39" s="340">
        <f>H25+H26+H27+H28+H32</f>
        <v>8316</v>
      </c>
      <c r="I39" s="340">
        <f>I20+I23+I34+I35+I36+I37+I38</f>
        <v>68753.114610000004</v>
      </c>
      <c r="J39" s="340">
        <f>J20+J23+J34+J35+J36+J37+J38</f>
        <v>257813.49187999999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128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97" t="s">
        <v>2</v>
      </c>
      <c r="D49" s="398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97"/>
      <c r="M55" s="197"/>
    </row>
    <row r="56" spans="2:13" s="3" customFormat="1" ht="63.75" thickBot="1" x14ac:dyDescent="0.3">
      <c r="B56" s="140"/>
      <c r="C56" s="176" t="s">
        <v>19</v>
      </c>
      <c r="D56" s="394" t="s">
        <v>20</v>
      </c>
      <c r="E56" s="328" t="str">
        <f>F19</f>
        <v>LANDET KVANTUM UKE 33</v>
      </c>
      <c r="F56" s="176" t="str">
        <f>G19</f>
        <v>LANDET KVANTUM T.O.M UKE 33</v>
      </c>
      <c r="G56" s="379" t="str">
        <f>I19</f>
        <v>RESTKVOTER</v>
      </c>
      <c r="H56" s="176" t="str">
        <f>J19</f>
        <v>LANDET KVANTUM T.O.M. UKE 33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10">
        <v>5386</v>
      </c>
      <c r="E57" s="391">
        <v>59.271549999999998</v>
      </c>
      <c r="F57" s="366">
        <v>1274.8712599999999</v>
      </c>
      <c r="G57" s="412">
        <f>D57-F57-F58</f>
        <v>2877.9939400000003</v>
      </c>
      <c r="H57" s="366">
        <v>1092.33159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11"/>
      <c r="E58" s="392">
        <v>84.875320000000002</v>
      </c>
      <c r="F58" s="386">
        <v>1233.1348</v>
      </c>
      <c r="G58" s="413"/>
      <c r="H58" s="386">
        <v>1464.68416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7">
        <v>200</v>
      </c>
      <c r="E59" s="393"/>
      <c r="F59" s="387">
        <v>87.399010000000004</v>
      </c>
      <c r="G59" s="380">
        <f>D59-F59</f>
        <v>112.60099</v>
      </c>
      <c r="H59" s="387">
        <v>78.780910000000006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8">
        <v>8078</v>
      </c>
      <c r="E60" s="324">
        <f>E61+E62+E63</f>
        <v>944.69975999999997</v>
      </c>
      <c r="F60" s="388">
        <f>F61+F62+F63</f>
        <v>7537.2348099999999</v>
      </c>
      <c r="G60" s="381">
        <f>D60-F60</f>
        <v>540.76519000000008</v>
      </c>
      <c r="H60" s="388">
        <f>H61+H62+H63</f>
        <v>7579.7839299999996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5"/>
      <c r="E61" s="325">
        <v>585.9135</v>
      </c>
      <c r="F61" s="335">
        <v>3730.5263199999999</v>
      </c>
      <c r="G61" s="382"/>
      <c r="H61" s="335">
        <v>3123.0511900000001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5"/>
      <c r="E62" s="325">
        <v>282.23685999999998</v>
      </c>
      <c r="F62" s="335">
        <v>2368.2562499999999</v>
      </c>
      <c r="G62" s="382"/>
      <c r="H62" s="335">
        <v>2898.9787000000001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9"/>
      <c r="E63" s="325">
        <v>76.549400000000006</v>
      </c>
      <c r="F63" s="389">
        <v>1438.4522400000001</v>
      </c>
      <c r="G63" s="383"/>
      <c r="H63" s="389">
        <v>1557.75404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3">
        <v>91</v>
      </c>
      <c r="E64" s="218"/>
      <c r="F64" s="333"/>
      <c r="G64" s="384">
        <f>D64-F64</f>
        <v>91</v>
      </c>
      <c r="H64" s="333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6" t="s">
        <v>14</v>
      </c>
      <c r="D65" s="390"/>
      <c r="E65" s="327"/>
      <c r="F65" s="390"/>
      <c r="G65" s="385"/>
      <c r="H65" s="390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40">
        <f>D57+D59+D60+D64</f>
        <v>13755</v>
      </c>
      <c r="E66" s="191">
        <f>E57+E58+E59+E60+E64+E65</f>
        <v>1088.84663</v>
      </c>
      <c r="F66" s="340">
        <f>F57+F58+F59+F60+F64+F65</f>
        <v>10132.639879999999</v>
      </c>
      <c r="G66" s="369">
        <f>D66-F66</f>
        <v>3622.3601200000012</v>
      </c>
      <c r="H66" s="340">
        <f>H57+H58+H59+H60+H64+H65</f>
        <v>10217.61694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2" t="s">
        <v>118</v>
      </c>
      <c r="D67" s="422"/>
      <c r="E67" s="422"/>
      <c r="F67" s="422"/>
      <c r="G67" s="422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05" t="s">
        <v>2</v>
      </c>
      <c r="D74" s="406"/>
      <c r="E74" s="405" t="s">
        <v>20</v>
      </c>
      <c r="F74" s="417"/>
      <c r="G74" s="405" t="s">
        <v>21</v>
      </c>
      <c r="H74" s="406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421"/>
      <c r="D80" s="421"/>
      <c r="E80" s="421"/>
      <c r="F80" s="421"/>
      <c r="G80" s="421"/>
      <c r="H80" s="421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421"/>
      <c r="D81" s="421"/>
      <c r="E81" s="421"/>
      <c r="F81" s="421"/>
      <c r="G81" s="421"/>
      <c r="H81" s="421"/>
      <c r="I81" s="242"/>
      <c r="J81" s="242"/>
      <c r="K81" s="239"/>
      <c r="L81" s="242"/>
      <c r="M81" s="116"/>
    </row>
    <row r="82" spans="1:13" ht="14.1" customHeight="1" x14ac:dyDescent="0.25">
      <c r="B82" s="418" t="s">
        <v>8</v>
      </c>
      <c r="C82" s="419"/>
      <c r="D82" s="419"/>
      <c r="E82" s="419"/>
      <c r="F82" s="419"/>
      <c r="G82" s="419"/>
      <c r="H82" s="419"/>
      <c r="I82" s="419"/>
      <c r="J82" s="419"/>
      <c r="K82" s="420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33</v>
      </c>
      <c r="G84" s="176" t="str">
        <f>G19</f>
        <v>LANDET KVANTUM T.O.M UKE 33</v>
      </c>
      <c r="H84" s="176" t="str">
        <f>I19</f>
        <v>RESTKVOTER</v>
      </c>
      <c r="I84" s="176" t="str">
        <f>J19</f>
        <v>LANDET KVANTUM T.O.M. UKE 33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371">
        <f>E87+E86</f>
        <v>38762</v>
      </c>
      <c r="F85" s="371">
        <f>F87+F86</f>
        <v>544.88873000000001</v>
      </c>
      <c r="G85" s="371">
        <f>G86+G87</f>
        <v>26374.2997</v>
      </c>
      <c r="H85" s="371">
        <f>H86+H87</f>
        <v>12387.7003</v>
      </c>
      <c r="I85" s="371">
        <f>I86+I87</f>
        <v>29879.313009999998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372">
        <v>37937</v>
      </c>
      <c r="F86" s="372">
        <v>544.82853</v>
      </c>
      <c r="G86" s="372">
        <v>26133.382099999999</v>
      </c>
      <c r="H86" s="372">
        <f>E86-G86</f>
        <v>11803.617900000001</v>
      </c>
      <c r="I86" s="372">
        <v>29511.324479999999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373">
        <v>825</v>
      </c>
      <c r="F87" s="373">
        <v>6.0199999999999997E-2</v>
      </c>
      <c r="G87" s="373">
        <v>240.91759999999999</v>
      </c>
      <c r="H87" s="373">
        <f>E87-G87</f>
        <v>584.08240000000001</v>
      </c>
      <c r="I87" s="373">
        <v>367.98853000000003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371">
        <f t="shared" ref="E88:I88" si="2">E89+E94+E95</f>
        <v>70774</v>
      </c>
      <c r="F88" s="371">
        <f t="shared" si="2"/>
        <v>1078.0861999999997</v>
      </c>
      <c r="G88" s="371">
        <f t="shared" si="2"/>
        <v>37248.197249999997</v>
      </c>
      <c r="H88" s="371">
        <f>H89+H94+H95</f>
        <v>33525.802750000003</v>
      </c>
      <c r="I88" s="371">
        <f t="shared" si="2"/>
        <v>38721.452830000002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374">
        <f t="shared" ref="E89:I89" si="4">E90+E91+E92+E93</f>
        <v>54332</v>
      </c>
      <c r="F89" s="374">
        <f t="shared" si="4"/>
        <v>1034.80468</v>
      </c>
      <c r="G89" s="374">
        <f t="shared" si="4"/>
        <v>29844.679390000001</v>
      </c>
      <c r="H89" s="374">
        <f>H90+H91+H92+H93</f>
        <v>24487.320609999999</v>
      </c>
      <c r="I89" s="374">
        <f t="shared" si="4"/>
        <v>30339.056020000004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375">
        <v>14884</v>
      </c>
      <c r="F90" s="375">
        <v>124.45241</v>
      </c>
      <c r="G90" s="375">
        <v>4074.1838699999998</v>
      </c>
      <c r="H90" s="375">
        <f t="shared" ref="H90:H98" si="5">E90-G90</f>
        <v>10809.816129999999</v>
      </c>
      <c r="I90" s="375">
        <v>4309.0025800000003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375">
        <v>15259</v>
      </c>
      <c r="F91" s="375">
        <v>297.14296999999999</v>
      </c>
      <c r="G91" s="375">
        <v>8650.0610300000008</v>
      </c>
      <c r="H91" s="375">
        <f t="shared" si="5"/>
        <v>6608.9389699999992</v>
      </c>
      <c r="I91" s="375">
        <v>8717.9673899999998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375">
        <v>15859</v>
      </c>
      <c r="F92" s="375">
        <v>530.66456000000005</v>
      </c>
      <c r="G92" s="375">
        <v>10064.27691</v>
      </c>
      <c r="H92" s="375">
        <f t="shared" si="5"/>
        <v>5794.7230899999995</v>
      </c>
      <c r="I92" s="375">
        <v>9763.5902600000009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375">
        <v>8330</v>
      </c>
      <c r="F93" s="375">
        <v>82.544740000000004</v>
      </c>
      <c r="G93" s="375">
        <v>7056.1575800000001</v>
      </c>
      <c r="H93" s="375">
        <f t="shared" si="5"/>
        <v>1273.8424199999999</v>
      </c>
      <c r="I93" s="375">
        <v>7548.4957899999999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374">
        <v>11135</v>
      </c>
      <c r="F94" s="374">
        <v>9.0565999999999995</v>
      </c>
      <c r="G94" s="374">
        <v>6219.8124399999997</v>
      </c>
      <c r="H94" s="374">
        <f t="shared" si="5"/>
        <v>4915.1875600000003</v>
      </c>
      <c r="I94" s="374">
        <v>7359.42875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395">
        <v>5307</v>
      </c>
      <c r="F95" s="395">
        <v>34.224919999999997</v>
      </c>
      <c r="G95" s="395">
        <v>1183.70542</v>
      </c>
      <c r="H95" s="395">
        <f t="shared" si="5"/>
        <v>4123.2945799999998</v>
      </c>
      <c r="I95" s="395">
        <v>1022.96806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377">
        <v>351</v>
      </c>
      <c r="F96" s="377"/>
      <c r="G96" s="377">
        <v>9.4123000000000001</v>
      </c>
      <c r="H96" s="377">
        <f t="shared" si="5"/>
        <v>341.58769999999998</v>
      </c>
      <c r="I96" s="377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378">
        <v>300</v>
      </c>
      <c r="F97" s="378">
        <v>0.47626000000000002</v>
      </c>
      <c r="G97" s="378">
        <v>300</v>
      </c>
      <c r="H97" s="378">
        <f t="shared" si="5"/>
        <v>0</v>
      </c>
      <c r="I97" s="378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378"/>
      <c r="F98" s="378"/>
      <c r="G98" s="378">
        <v>10</v>
      </c>
      <c r="H98" s="378">
        <f t="shared" si="5"/>
        <v>-10</v>
      </c>
      <c r="I98" s="378">
        <v>40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40">
        <f>E85+E88+E96+E97+E98</f>
        <v>110187</v>
      </c>
      <c r="F99" s="340">
        <f t="shared" ref="F99:G99" si="6">F85+F88+F96+F97+F98</f>
        <v>1623.4511899999998</v>
      </c>
      <c r="G99" s="340">
        <f t="shared" si="6"/>
        <v>63941.909250000004</v>
      </c>
      <c r="H99" s="340">
        <f>H85+H88+H96+H97+H98</f>
        <v>46245.090749999996</v>
      </c>
      <c r="I99" s="340">
        <f>I85+I88+I96+I97+I98</f>
        <v>68958.645900000003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129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33</v>
      </c>
      <c r="G118" s="176" t="str">
        <f>G19</f>
        <v>LANDET KVANTUM T.O.M UKE 33</v>
      </c>
      <c r="H118" s="176" t="str">
        <f>I19</f>
        <v>RESTKVOTER</v>
      </c>
      <c r="I118" s="341" t="str">
        <f>J19</f>
        <v>LANDET KVANTUM T.O.M. UKE 33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29">
        <f t="shared" ref="F119:H119" si="8">F120+F121+F122</f>
        <v>575.19518000000005</v>
      </c>
      <c r="G119" s="329">
        <f t="shared" si="8"/>
        <v>38063.327550000002</v>
      </c>
      <c r="H119" s="329">
        <f t="shared" si="8"/>
        <v>15407.15149</v>
      </c>
      <c r="I119" s="344">
        <f>I120+I121+I122</f>
        <v>36002.398609999997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30">
        <v>223.20158000000001</v>
      </c>
      <c r="G120" s="330">
        <v>33551.03284</v>
      </c>
      <c r="H120" s="330">
        <v>13256.07516</v>
      </c>
      <c r="I120" s="345">
        <v>30438.45508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30">
        <v>351.99360000000001</v>
      </c>
      <c r="G121" s="330">
        <v>4512.2947100000001</v>
      </c>
      <c r="H121" s="330">
        <v>1651.0763300000001</v>
      </c>
      <c r="I121" s="345">
        <v>5563.9435299999996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31"/>
      <c r="G122" s="331"/>
      <c r="H122" s="331">
        <f>E122-G122</f>
        <v>500</v>
      </c>
      <c r="I122" s="346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32">
        <v>675.10900000000004</v>
      </c>
      <c r="G123" s="332">
        <f>22852.01012+1908.69785</f>
        <v>24760.707969999999</v>
      </c>
      <c r="H123" s="332">
        <f>E123-G123</f>
        <v>9891.2920300000005</v>
      </c>
      <c r="I123" s="284">
        <v>24075.515920000002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33">
        <f>F125+F130+F133</f>
        <v>1131.2869599999999</v>
      </c>
      <c r="G124" s="333">
        <f>G133+G130+G125</f>
        <v>36139.419410000002</v>
      </c>
      <c r="H124" s="342">
        <f>H125+H130+H133</f>
        <v>17502.580589999998</v>
      </c>
      <c r="I124" s="300">
        <f>I125+I130+I133</f>
        <v>42038.376190000003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34">
        <f>F126+F127+F128+F129</f>
        <v>870.73715000000004</v>
      </c>
      <c r="G125" s="334">
        <f>G126+G127+G129+G128</f>
        <v>26001.94497</v>
      </c>
      <c r="H125" s="343">
        <f>H126+H127+H128+H129</f>
        <v>14507.05503</v>
      </c>
      <c r="I125" s="347">
        <f>I126+I127+I128+I129</f>
        <v>31324.954850000002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35">
        <v>253.40315000000001</v>
      </c>
      <c r="G126" s="335">
        <v>5659.1606899999997</v>
      </c>
      <c r="H126" s="335">
        <f t="shared" ref="H126:H138" si="9">E126-G126</f>
        <v>7316.8393100000003</v>
      </c>
      <c r="I126" s="348">
        <v>5042.6132799999996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35">
        <v>113.8141</v>
      </c>
      <c r="G127" s="335">
        <f>6936.45013-111.131</f>
        <v>6825.3191299999999</v>
      </c>
      <c r="H127" s="335">
        <f t="shared" si="9"/>
        <v>3898.6808700000001</v>
      </c>
      <c r="I127" s="348">
        <v>7909.1460999999999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35">
        <v>383.94510000000002</v>
      </c>
      <c r="G128" s="335">
        <f>9140.93255-1211.9311</f>
        <v>7929.0014499999997</v>
      </c>
      <c r="H128" s="335">
        <f t="shared" si="9"/>
        <v>1060.9985500000003</v>
      </c>
      <c r="I128" s="348">
        <v>9926.7658300000003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35">
        <v>119.5748</v>
      </c>
      <c r="G129" s="335">
        <f>6174.09945-585.63575</f>
        <v>5588.4636999999993</v>
      </c>
      <c r="H129" s="335">
        <f t="shared" si="9"/>
        <v>2230.5363000000007</v>
      </c>
      <c r="I129" s="348">
        <v>8446.4296400000003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36">
        <v>10.935</v>
      </c>
      <c r="G130" s="336">
        <v>5765.4776499999998</v>
      </c>
      <c r="H130" s="336">
        <f t="shared" si="9"/>
        <v>158.52235000000019</v>
      </c>
      <c r="I130" s="349">
        <v>6321.9770399999998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35">
        <v>5.1165000000000003</v>
      </c>
      <c r="G131" s="335">
        <v>5680.4288399999996</v>
      </c>
      <c r="H131" s="335">
        <f t="shared" si="9"/>
        <v>-256.42883999999958</v>
      </c>
      <c r="I131" s="348">
        <v>6211.8900800000001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35">
        <f>F130-F131</f>
        <v>5.8185000000000002</v>
      </c>
      <c r="G132" s="335">
        <f>G130-G131</f>
        <v>85.048810000000231</v>
      </c>
      <c r="H132" s="335">
        <f t="shared" si="9"/>
        <v>414.95118999999977</v>
      </c>
      <c r="I132" s="348">
        <f>I130-I131</f>
        <v>110.08695999999964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37">
        <v>249.61481000000001</v>
      </c>
      <c r="G133" s="337">
        <v>4371.9967900000001</v>
      </c>
      <c r="H133" s="337">
        <f t="shared" si="9"/>
        <v>2837.0032099999999</v>
      </c>
      <c r="I133" s="350">
        <v>4391.4443000000001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33">
        <v>0</v>
      </c>
      <c r="G134" s="333">
        <v>12.69735</v>
      </c>
      <c r="H134" s="333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38">
        <v>0</v>
      </c>
      <c r="G135" s="338">
        <v>207.3338</v>
      </c>
      <c r="H135" s="338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33">
        <v>21.556850000000001</v>
      </c>
      <c r="G136" s="333">
        <v>2000</v>
      </c>
      <c r="H136" s="333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9">
        <v>35</v>
      </c>
      <c r="G137" s="339">
        <v>627</v>
      </c>
      <c r="H137" s="339">
        <f t="shared" si="9"/>
        <v>-627</v>
      </c>
      <c r="I137" s="283">
        <v>231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40">
        <f>F119+F123+F124+F134+F135+F136+F137</f>
        <v>2438.1479899999999</v>
      </c>
      <c r="G138" s="340">
        <f>G119+G123+G124+G134+G135+G136+G137</f>
        <v>101810.48608</v>
      </c>
      <c r="H138" s="340">
        <f t="shared" si="9"/>
        <v>40929.513919999998</v>
      </c>
      <c r="I138" s="323">
        <f>I119+I123+I124+I134+I135+I136+I137</f>
        <v>104599.92171999998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130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397" t="s">
        <v>2</v>
      </c>
      <c r="D148" s="398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33</v>
      </c>
      <c r="F157" s="104" t="str">
        <f>G19</f>
        <v>LANDET KVANTUM T.O.M UKE 33</v>
      </c>
      <c r="G157" s="104" t="str">
        <f>I19</f>
        <v>RESTKVOTER</v>
      </c>
      <c r="H157" s="104" t="str">
        <f>J19</f>
        <v>LANDET KVANTUM T.O.M. UKE 33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51">
        <v>1502.29628</v>
      </c>
      <c r="F158" s="354">
        <v>28345.0298</v>
      </c>
      <c r="G158" s="354">
        <f>D158-F158</f>
        <v>7739.9701999999997</v>
      </c>
      <c r="H158" s="354">
        <v>17633.375530000001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51">
        <v>1E-3</v>
      </c>
      <c r="F159" s="354">
        <v>7.9292100000000003</v>
      </c>
      <c r="G159" s="354">
        <f>D159-F159</f>
        <v>92.070790000000002</v>
      </c>
      <c r="H159" s="354">
        <v>29.087669999999999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2"/>
      <c r="F160" s="355"/>
      <c r="G160" s="355">
        <f>D160-F160</f>
        <v>34</v>
      </c>
      <c r="H160" s="355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3">
        <f>SUM(E158:E160)</f>
        <v>1502.29728</v>
      </c>
      <c r="F161" s="356">
        <f>SUM(F158:F160)</f>
        <v>28352.959009999999</v>
      </c>
      <c r="G161" s="356">
        <f>D161-F161</f>
        <v>7866.0409900000013</v>
      </c>
      <c r="H161" s="356">
        <f>SUM(H158:H160)</f>
        <v>17662.463200000002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2" t="s">
        <v>1</v>
      </c>
      <c r="C164" s="403"/>
      <c r="D164" s="403"/>
      <c r="E164" s="403"/>
      <c r="F164" s="403"/>
      <c r="G164" s="403"/>
      <c r="H164" s="403"/>
      <c r="I164" s="403"/>
      <c r="J164" s="403"/>
      <c r="K164" s="404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97" t="s">
        <v>2</v>
      </c>
      <c r="D166" s="398"/>
      <c r="E166" s="397" t="s">
        <v>53</v>
      </c>
      <c r="F166" s="398"/>
      <c r="G166" s="397" t="s">
        <v>54</v>
      </c>
      <c r="H166" s="398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99" t="s">
        <v>8</v>
      </c>
      <c r="C175" s="400"/>
      <c r="D175" s="400"/>
      <c r="E175" s="400"/>
      <c r="F175" s="400"/>
      <c r="G175" s="400"/>
      <c r="H175" s="400"/>
      <c r="I175" s="400"/>
      <c r="J175" s="400"/>
      <c r="K175" s="401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33</v>
      </c>
      <c r="G177" s="104" t="str">
        <f>G19</f>
        <v>LANDET KVANTUM T.O.M UKE 33</v>
      </c>
      <c r="H177" s="104" t="str">
        <f>I19</f>
        <v>RESTKVOTER</v>
      </c>
      <c r="I177" s="104" t="str">
        <f>J19</f>
        <v>LANDET KVANTUM T.O.M. UKE 33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7">
        <f>F179+F180+F181+F182</f>
        <v>1149.03036</v>
      </c>
      <c r="G178" s="357">
        <f t="shared" si="11"/>
        <v>18678.592659999998</v>
      </c>
      <c r="H178" s="357">
        <f t="shared" si="11"/>
        <v>11610.407340000002</v>
      </c>
      <c r="I178" s="357">
        <f>I179+I180+I181+I182</f>
        <v>26599.972210000004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58">
        <v>907.73595999999998</v>
      </c>
      <c r="G179" s="358">
        <v>13136.49129</v>
      </c>
      <c r="H179" s="358">
        <f t="shared" ref="H179:H184" si="12">E179-G179</f>
        <v>5384.5087100000001</v>
      </c>
      <c r="I179" s="358">
        <v>19428.613170000001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58"/>
      <c r="G180" s="358">
        <v>1254.2501099999999</v>
      </c>
      <c r="H180" s="358">
        <f t="shared" si="12"/>
        <v>3565.7498900000001</v>
      </c>
      <c r="I180" s="358">
        <v>1865.9486999999999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58">
        <v>39.759599999999999</v>
      </c>
      <c r="G181" s="358">
        <v>1845.2744600000001</v>
      </c>
      <c r="H181" s="358">
        <f t="shared" si="12"/>
        <v>-228.27446000000009</v>
      </c>
      <c r="I181" s="358">
        <v>2376.7523900000001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59">
        <v>201.53479999999999</v>
      </c>
      <c r="G182" s="359">
        <v>2442.5767999999998</v>
      </c>
      <c r="H182" s="359">
        <f t="shared" si="12"/>
        <v>2888.4232000000002</v>
      </c>
      <c r="I182" s="359">
        <v>2928.6579499999998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60"/>
      <c r="G183" s="360">
        <v>3878.8402799999999</v>
      </c>
      <c r="H183" s="360">
        <f t="shared" si="12"/>
        <v>1621.1597200000001</v>
      </c>
      <c r="I183" s="360">
        <v>4770.7276599999996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7">
        <f>F185+F186</f>
        <v>142.22567000000001</v>
      </c>
      <c r="G184" s="357">
        <f>G185+G186</f>
        <v>2850.1075000000001</v>
      </c>
      <c r="H184" s="357">
        <f t="shared" si="12"/>
        <v>5149.8924999999999</v>
      </c>
      <c r="I184" s="357">
        <f>I185+I186</f>
        <v>2060.0346799999998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58">
        <v>2.0034000000000001</v>
      </c>
      <c r="G185" s="358">
        <v>307.17358000000002</v>
      </c>
      <c r="H185" s="358"/>
      <c r="I185" s="358">
        <v>269.85788000000002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61">
        <v>140.22227000000001</v>
      </c>
      <c r="G186" s="361">
        <v>2542.9339199999999</v>
      </c>
      <c r="H186" s="361"/>
      <c r="I186" s="361">
        <v>1790.1768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60"/>
      <c r="G187" s="360">
        <v>0.59865000000000002</v>
      </c>
      <c r="H187" s="360">
        <f>E187-G187</f>
        <v>9.4013500000000008</v>
      </c>
      <c r="I187" s="360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2">
        <v>1.6752899999999999</v>
      </c>
      <c r="G188" s="362">
        <v>48.466679999999997</v>
      </c>
      <c r="H188" s="362">
        <f>E188-G188</f>
        <v>-48.466679999999997</v>
      </c>
      <c r="I188" s="362">
        <v>33.964350000000003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1292.9313199999999</v>
      </c>
      <c r="G189" s="210">
        <f>G178+G183+G184+G187+G188</f>
        <v>25456.605769999998</v>
      </c>
      <c r="H189" s="210">
        <f>H178+H183+H184+H187+H188</f>
        <v>18342.394230000002</v>
      </c>
      <c r="I189" s="396">
        <f>I178+I183+I184+I187+I188</f>
        <v>33465.067300000002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2" t="s">
        <v>1</v>
      </c>
      <c r="C195" s="403"/>
      <c r="D195" s="403"/>
      <c r="E195" s="403"/>
      <c r="F195" s="403"/>
      <c r="G195" s="403"/>
      <c r="H195" s="403"/>
      <c r="I195" s="403"/>
      <c r="J195" s="403"/>
      <c r="K195" s="404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97" t="s">
        <v>2</v>
      </c>
      <c r="D197" s="398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99" t="s">
        <v>8</v>
      </c>
      <c r="C205" s="400"/>
      <c r="D205" s="400"/>
      <c r="E205" s="400"/>
      <c r="F205" s="400"/>
      <c r="G205" s="400"/>
      <c r="H205" s="400"/>
      <c r="I205" s="400"/>
      <c r="J205" s="400"/>
      <c r="K205" s="401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33</v>
      </c>
      <c r="F207" s="104" t="str">
        <f>G19</f>
        <v>LANDET KVANTUM T.O.M UKE 33</v>
      </c>
      <c r="G207" s="104" t="str">
        <f>I19</f>
        <v>RESTKVOTER</v>
      </c>
      <c r="H207" s="104" t="str">
        <f>J19</f>
        <v>LANDET KVANTUM T.O.M. UKE 33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4">
        <v>12.59811</v>
      </c>
      <c r="F208" s="354">
        <v>457.08593999999999</v>
      </c>
      <c r="G208" s="354">
        <f>D208-F208</f>
        <v>242.91406000000001</v>
      </c>
      <c r="H208" s="354">
        <v>670.73559999999998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4">
        <v>43.810169999999999</v>
      </c>
      <c r="F209" s="354">
        <v>1240.84458</v>
      </c>
      <c r="G209" s="354">
        <f t="shared" ref="G209:G211" si="13">D209-F209</f>
        <v>129.15542000000005</v>
      </c>
      <c r="H209" s="354">
        <v>2460.87057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4"/>
      <c r="F210" s="354">
        <v>1.2104200000000001</v>
      </c>
      <c r="G210" s="354">
        <f t="shared" si="13"/>
        <v>48.789580000000001</v>
      </c>
      <c r="H210" s="354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4"/>
      <c r="F211" s="354">
        <v>2.0574300000000001</v>
      </c>
      <c r="G211" s="354">
        <f t="shared" si="13"/>
        <v>-2.0574300000000001</v>
      </c>
      <c r="H211" s="354">
        <v>3.4924300000000001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6">
        <f>SUM(E208:E211)</f>
        <v>56.408279999999998</v>
      </c>
      <c r="F212" s="356">
        <f>SUM(F208:F211)</f>
        <v>1701.1983700000001</v>
      </c>
      <c r="G212" s="356">
        <f>D212-F212</f>
        <v>418.80162999999993</v>
      </c>
      <c r="H212" s="356">
        <f>H208+H209+H210+H211</f>
        <v>3137.2087399999996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2" t="s">
        <v>1</v>
      </c>
      <c r="C223" s="403"/>
      <c r="D223" s="403"/>
      <c r="E223" s="403"/>
      <c r="F223" s="403"/>
      <c r="G223" s="403"/>
      <c r="H223" s="403"/>
      <c r="I223" s="403"/>
      <c r="J223" s="403"/>
      <c r="K223" s="404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97" t="s">
        <v>2</v>
      </c>
      <c r="D225" s="398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99" t="s">
        <v>8</v>
      </c>
      <c r="C232" s="400"/>
      <c r="D232" s="400"/>
      <c r="E232" s="400"/>
      <c r="F232" s="400"/>
      <c r="G232" s="400"/>
      <c r="H232" s="400"/>
      <c r="I232" s="400"/>
      <c r="J232" s="400"/>
      <c r="K232" s="401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33</v>
      </c>
      <c r="F234" s="314" t="str">
        <f>F207</f>
        <v>LANDET KVANTUM T.O.M UKE 33</v>
      </c>
      <c r="G234" s="363" t="s">
        <v>62</v>
      </c>
      <c r="H234" s="314" t="str">
        <f>H207</f>
        <v>LANDET KVANTUM T.O.M. UKE 33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29">
        <v>1900</v>
      </c>
      <c r="E235" s="366">
        <f>SUM(E236:E237)</f>
        <v>0</v>
      </c>
      <c r="F235" s="366">
        <f>SUM(F236:F237)</f>
        <v>1914.28793</v>
      </c>
      <c r="G235" s="426">
        <f>D235-F235</f>
        <v>-14.28792999999996</v>
      </c>
      <c r="H235" s="366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430"/>
      <c r="E236" s="367"/>
      <c r="F236" s="367">
        <v>1555.61869</v>
      </c>
      <c r="G236" s="427"/>
      <c r="H236" s="367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431"/>
      <c r="E237" s="368"/>
      <c r="F237" s="368">
        <v>358.66924</v>
      </c>
      <c r="G237" s="428"/>
      <c r="H237" s="368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29">
        <v>1624</v>
      </c>
      <c r="E238" s="366">
        <f>SUM(E239:E240)</f>
        <v>118.18219999999999</v>
      </c>
      <c r="F238" s="366">
        <f>SUM(F239:F240)</f>
        <v>1450.3615500000001</v>
      </c>
      <c r="G238" s="426">
        <f>D238-F238</f>
        <v>173.63844999999992</v>
      </c>
      <c r="H238" s="366">
        <f>SUM(H239:H240)</f>
        <v>1100.1088099999999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430"/>
      <c r="E239" s="367">
        <v>96.822000000000003</v>
      </c>
      <c r="F239" s="367">
        <v>1175.1502</v>
      </c>
      <c r="G239" s="427"/>
      <c r="H239" s="367">
        <v>844.06300999999996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431"/>
      <c r="E240" s="368">
        <v>21.360199999999999</v>
      </c>
      <c r="F240" s="368">
        <v>275.21134999999998</v>
      </c>
      <c r="G240" s="428"/>
      <c r="H240" s="368">
        <v>256.04579999999999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29">
        <v>1624</v>
      </c>
      <c r="E241" s="366">
        <f>SUM(E242:E243)</f>
        <v>0</v>
      </c>
      <c r="F241" s="366">
        <f>SUM(F242:F243)</f>
        <v>0</v>
      </c>
      <c r="G241" s="426">
        <f>D241-F241</f>
        <v>1624</v>
      </c>
      <c r="H241" s="366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430"/>
      <c r="E242" s="367"/>
      <c r="F242" s="367"/>
      <c r="G242" s="427"/>
      <c r="H242" s="367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431"/>
      <c r="E243" s="368"/>
      <c r="F243" s="368"/>
      <c r="G243" s="428"/>
      <c r="H243" s="368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55"/>
      <c r="F244" s="355"/>
      <c r="G244" s="364"/>
      <c r="H244" s="355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56">
        <f>E235+E238+E241+E244</f>
        <v>118.18219999999999</v>
      </c>
      <c r="F245" s="356">
        <f>F235+F238+F241+F244</f>
        <v>3364.64948</v>
      </c>
      <c r="G245" s="365">
        <f>SUM(G235:G244)</f>
        <v>1783.35052</v>
      </c>
      <c r="H245" s="356">
        <f>H235+H238+H241+H244</f>
        <v>2695.2641599999997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33
&amp;"-,Normal"&amp;11(iht. motatte landings- og sluttsedler fra fiskesalgslagene; alle tallstørrelser i hele tonn)&amp;R18.08.2020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UKE_33_2020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Grete Heegaard</cp:lastModifiedBy>
  <cp:lastPrinted>2020-07-01T06:21:30Z</cp:lastPrinted>
  <dcterms:created xsi:type="dcterms:W3CDTF">2011-07-06T12:13:20Z</dcterms:created>
  <dcterms:modified xsi:type="dcterms:W3CDTF">2020-08-18T09:16:19Z</dcterms:modified>
</cp:coreProperties>
</file>