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2023\"/>
    </mc:Choice>
  </mc:AlternateContent>
  <xr:revisionPtr revIDLastSave="0" documentId="13_ncr:1_{D5AC7CD6-146F-464F-8AD4-A710C4231A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ukesstatistikk!$B$1:$J$423</definedName>
    <definedName name="Z_14D440E4_F18A_4F78_9989_38C1B133222D_.wvu.Rows" localSheetId="0" hidden="1">ukesstatistikk!#REF!,ukesstatistikk!#REF!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132" i="1" s="1"/>
  <c r="H419" i="1"/>
  <c r="F419" i="1"/>
  <c r="E419" i="1"/>
  <c r="H418" i="1"/>
  <c r="F418" i="1"/>
  <c r="E418" i="1"/>
  <c r="E417" i="1" s="1"/>
  <c r="H417" i="1"/>
  <c r="H416" i="1"/>
  <c r="F416" i="1"/>
  <c r="E416" i="1"/>
  <c r="H415" i="1"/>
  <c r="F415" i="1"/>
  <c r="F414" i="1" s="1"/>
  <c r="E415" i="1"/>
  <c r="H413" i="1"/>
  <c r="F413" i="1"/>
  <c r="E413" i="1"/>
  <c r="H412" i="1"/>
  <c r="F412" i="1"/>
  <c r="E412" i="1"/>
  <c r="I388" i="1"/>
  <c r="G388" i="1"/>
  <c r="H388" i="1" s="1"/>
  <c r="F388" i="1"/>
  <c r="I387" i="1"/>
  <c r="G387" i="1"/>
  <c r="H387" i="1" s="1"/>
  <c r="F387" i="1"/>
  <c r="I386" i="1"/>
  <c r="G386" i="1"/>
  <c r="F386" i="1"/>
  <c r="I385" i="1"/>
  <c r="I384" i="1" s="1"/>
  <c r="G385" i="1"/>
  <c r="F385" i="1"/>
  <c r="I383" i="1"/>
  <c r="G383" i="1"/>
  <c r="H383" i="1" s="1"/>
  <c r="F383" i="1"/>
  <c r="I382" i="1"/>
  <c r="G382" i="1"/>
  <c r="H382" i="1" s="1"/>
  <c r="F382" i="1"/>
  <c r="I381" i="1"/>
  <c r="H381" i="1"/>
  <c r="G381" i="1"/>
  <c r="F381" i="1"/>
  <c r="I380" i="1"/>
  <c r="G380" i="1"/>
  <c r="H380" i="1" s="1"/>
  <c r="F380" i="1"/>
  <c r="I379" i="1"/>
  <c r="G379" i="1"/>
  <c r="H379" i="1" s="1"/>
  <c r="F379" i="1"/>
  <c r="E378" i="1"/>
  <c r="E389" i="1" s="1"/>
  <c r="D378" i="1"/>
  <c r="D389" i="1" s="1"/>
  <c r="H370" i="1"/>
  <c r="F370" i="1"/>
  <c r="D352" i="1"/>
  <c r="H351" i="1"/>
  <c r="F351" i="1"/>
  <c r="E351" i="1"/>
  <c r="H350" i="1"/>
  <c r="F350" i="1"/>
  <c r="G350" i="1" s="1"/>
  <c r="E350" i="1"/>
  <c r="H349" i="1"/>
  <c r="F349" i="1"/>
  <c r="G349" i="1" s="1"/>
  <c r="E349" i="1"/>
  <c r="H348" i="1"/>
  <c r="F348" i="1"/>
  <c r="G348" i="1" s="1"/>
  <c r="E348" i="1"/>
  <c r="D341" i="1"/>
  <c r="H296" i="1"/>
  <c r="F296" i="1"/>
  <c r="E296" i="1"/>
  <c r="H295" i="1"/>
  <c r="F295" i="1"/>
  <c r="E295" i="1"/>
  <c r="H294" i="1"/>
  <c r="F294" i="1"/>
  <c r="E294" i="1"/>
  <c r="H251" i="1"/>
  <c r="F251" i="1"/>
  <c r="E251" i="1"/>
  <c r="H250" i="1"/>
  <c r="F250" i="1"/>
  <c r="E250" i="1"/>
  <c r="H249" i="1"/>
  <c r="F249" i="1"/>
  <c r="E249" i="1"/>
  <c r="D207" i="1"/>
  <c r="G206" i="1"/>
  <c r="H205" i="1"/>
  <c r="F205" i="1"/>
  <c r="G205" i="1" s="1"/>
  <c r="E205" i="1"/>
  <c r="H204" i="1"/>
  <c r="F204" i="1"/>
  <c r="E204" i="1"/>
  <c r="D184" i="1"/>
  <c r="H182" i="1"/>
  <c r="F182" i="1"/>
  <c r="G182" i="1" s="1"/>
  <c r="E182" i="1"/>
  <c r="H181" i="1"/>
  <c r="F181" i="1"/>
  <c r="E181" i="1"/>
  <c r="H180" i="1"/>
  <c r="F180" i="1"/>
  <c r="E180" i="1"/>
  <c r="H179" i="1"/>
  <c r="F179" i="1"/>
  <c r="E179" i="1"/>
  <c r="H177" i="1"/>
  <c r="F177" i="1"/>
  <c r="G177" i="1" s="1"/>
  <c r="E177" i="1"/>
  <c r="H176" i="1"/>
  <c r="F176" i="1"/>
  <c r="E176" i="1"/>
  <c r="H175" i="1"/>
  <c r="F175" i="1"/>
  <c r="E175" i="1"/>
  <c r="D150" i="1"/>
  <c r="H147" i="1"/>
  <c r="H146" i="1"/>
  <c r="H145" i="1"/>
  <c r="F145" i="1"/>
  <c r="I144" i="1"/>
  <c r="G144" i="1"/>
  <c r="H144" i="1" s="1"/>
  <c r="F144" i="1"/>
  <c r="I143" i="1"/>
  <c r="G143" i="1"/>
  <c r="H143" i="1" s="1"/>
  <c r="F143" i="1"/>
  <c r="I142" i="1"/>
  <c r="G142" i="1"/>
  <c r="H142" i="1" s="1"/>
  <c r="F142" i="1"/>
  <c r="I141" i="1"/>
  <c r="H141" i="1"/>
  <c r="G141" i="1"/>
  <c r="F141" i="1"/>
  <c r="I140" i="1"/>
  <c r="I139" i="1" s="1"/>
  <c r="G140" i="1"/>
  <c r="H140" i="1" s="1"/>
  <c r="F140" i="1"/>
  <c r="E139" i="1"/>
  <c r="I138" i="1"/>
  <c r="H138" i="1"/>
  <c r="F138" i="1"/>
  <c r="I137" i="1"/>
  <c r="H137" i="1"/>
  <c r="F137" i="1"/>
  <c r="I136" i="1"/>
  <c r="G134" i="1"/>
  <c r="F136" i="1"/>
  <c r="I135" i="1"/>
  <c r="H135" i="1"/>
  <c r="F135" i="1"/>
  <c r="E134" i="1"/>
  <c r="I132" i="1"/>
  <c r="F132" i="1"/>
  <c r="H131" i="1"/>
  <c r="I130" i="1"/>
  <c r="G130" i="1"/>
  <c r="H130" i="1" s="1"/>
  <c r="F130" i="1"/>
  <c r="I129" i="1"/>
  <c r="H129" i="1"/>
  <c r="G129" i="1"/>
  <c r="F129" i="1"/>
  <c r="E128" i="1"/>
  <c r="C126" i="1"/>
  <c r="H106" i="1"/>
  <c r="H105" i="1"/>
  <c r="H104" i="1"/>
  <c r="F104" i="1"/>
  <c r="I103" i="1"/>
  <c r="G103" i="1"/>
  <c r="H103" i="1" s="1"/>
  <c r="F103" i="1"/>
  <c r="I102" i="1"/>
  <c r="G102" i="1"/>
  <c r="H102" i="1" s="1"/>
  <c r="F102" i="1"/>
  <c r="I101" i="1"/>
  <c r="H101" i="1"/>
  <c r="G101" i="1"/>
  <c r="F101" i="1"/>
  <c r="I100" i="1"/>
  <c r="G100" i="1"/>
  <c r="H100" i="1" s="1"/>
  <c r="F100" i="1"/>
  <c r="I99" i="1"/>
  <c r="G99" i="1"/>
  <c r="H99" i="1" s="1"/>
  <c r="F99" i="1"/>
  <c r="I98" i="1"/>
  <c r="G98" i="1"/>
  <c r="H98" i="1" s="1"/>
  <c r="F98" i="1"/>
  <c r="I97" i="1"/>
  <c r="G97" i="1"/>
  <c r="H97" i="1" s="1"/>
  <c r="F97" i="1"/>
  <c r="E96" i="1"/>
  <c r="E95" i="1" s="1"/>
  <c r="D96" i="1"/>
  <c r="D95" i="1" s="1"/>
  <c r="D107" i="1" s="1"/>
  <c r="I94" i="1"/>
  <c r="G94" i="1"/>
  <c r="H94" i="1" s="1"/>
  <c r="F94" i="1"/>
  <c r="F92" i="1" s="1"/>
  <c r="I93" i="1"/>
  <c r="G93" i="1"/>
  <c r="H93" i="1" s="1"/>
  <c r="F93" i="1"/>
  <c r="E92" i="1"/>
  <c r="C89" i="1"/>
  <c r="H85" i="1"/>
  <c r="F85" i="1"/>
  <c r="D85" i="1"/>
  <c r="G61" i="1"/>
  <c r="G60" i="1"/>
  <c r="I32" i="1"/>
  <c r="F55" i="1"/>
  <c r="G55" i="1" s="1"/>
  <c r="E44" i="1"/>
  <c r="D44" i="1"/>
  <c r="H43" i="1"/>
  <c r="H42" i="1"/>
  <c r="H41" i="1"/>
  <c r="H40" i="1"/>
  <c r="F40" i="1"/>
  <c r="I39" i="1"/>
  <c r="G39" i="1"/>
  <c r="H39" i="1" s="1"/>
  <c r="F39" i="1"/>
  <c r="I38" i="1"/>
  <c r="G38" i="1"/>
  <c r="H38" i="1" s="1"/>
  <c r="F38" i="1"/>
  <c r="I37" i="1"/>
  <c r="G37" i="1"/>
  <c r="H37" i="1" s="1"/>
  <c r="F37" i="1"/>
  <c r="I36" i="1"/>
  <c r="G36" i="1"/>
  <c r="H36" i="1" s="1"/>
  <c r="F36" i="1"/>
  <c r="F34" i="1" s="1"/>
  <c r="I35" i="1"/>
  <c r="G35" i="1"/>
  <c r="F35" i="1"/>
  <c r="I33" i="1"/>
  <c r="G33" i="1"/>
  <c r="H33" i="1" s="1"/>
  <c r="F33" i="1"/>
  <c r="G32" i="1"/>
  <c r="H32" i="1" s="1"/>
  <c r="F32" i="1"/>
  <c r="I31" i="1"/>
  <c r="G31" i="1"/>
  <c r="H31" i="1" s="1"/>
  <c r="F31" i="1"/>
  <c r="I30" i="1"/>
  <c r="G30" i="1"/>
  <c r="H30" i="1" s="1"/>
  <c r="F30" i="1"/>
  <c r="I29" i="1"/>
  <c r="H29" i="1"/>
  <c r="G29" i="1"/>
  <c r="F29" i="1"/>
  <c r="I28" i="1"/>
  <c r="G28" i="1"/>
  <c r="H28" i="1" s="1"/>
  <c r="F28" i="1"/>
  <c r="I25" i="1"/>
  <c r="I23" i="1" s="1"/>
  <c r="H25" i="1"/>
  <c r="G25" i="1"/>
  <c r="F25" i="1"/>
  <c r="I24" i="1"/>
  <c r="G24" i="1"/>
  <c r="H24" i="1" s="1"/>
  <c r="F24" i="1"/>
  <c r="H16" i="1"/>
  <c r="F16" i="1"/>
  <c r="D16" i="1"/>
  <c r="I134" i="1" l="1"/>
  <c r="I133" i="1" s="1"/>
  <c r="I150" i="1" s="1"/>
  <c r="F23" i="1"/>
  <c r="H178" i="1"/>
  <c r="E414" i="1"/>
  <c r="F417" i="1"/>
  <c r="G27" i="1"/>
  <c r="I96" i="1"/>
  <c r="I95" i="1" s="1"/>
  <c r="G92" i="1"/>
  <c r="E252" i="1"/>
  <c r="I378" i="1"/>
  <c r="I389" i="1" s="1"/>
  <c r="H23" i="1"/>
  <c r="F128" i="1"/>
  <c r="G139" i="1"/>
  <c r="G133" i="1" s="1"/>
  <c r="E297" i="1"/>
  <c r="H414" i="1"/>
  <c r="F134" i="1"/>
  <c r="I34" i="1"/>
  <c r="I128" i="1"/>
  <c r="E133" i="1"/>
  <c r="F178" i="1"/>
  <c r="G178" i="1" s="1"/>
  <c r="H297" i="1"/>
  <c r="E352" i="1"/>
  <c r="H184" i="1"/>
  <c r="G23" i="1"/>
  <c r="G34" i="1"/>
  <c r="G26" i="1" s="1"/>
  <c r="G44" i="1" s="1"/>
  <c r="E107" i="1"/>
  <c r="H128" i="1"/>
  <c r="H207" i="1"/>
  <c r="H378" i="1"/>
  <c r="F139" i="1"/>
  <c r="G384" i="1"/>
  <c r="H384" i="1" s="1"/>
  <c r="E150" i="1"/>
  <c r="H139" i="1"/>
  <c r="H252" i="1"/>
  <c r="H352" i="1"/>
  <c r="F378" i="1"/>
  <c r="I92" i="1"/>
  <c r="I107" i="1" s="1"/>
  <c r="E178" i="1"/>
  <c r="E184" i="1" s="1"/>
  <c r="F207" i="1"/>
  <c r="G207" i="1" s="1"/>
  <c r="F252" i="1"/>
  <c r="G252" i="1" s="1"/>
  <c r="G378" i="1"/>
  <c r="F411" i="1"/>
  <c r="F96" i="1"/>
  <c r="F95" i="1" s="1"/>
  <c r="H411" i="1"/>
  <c r="H421" i="1" s="1"/>
  <c r="G96" i="1"/>
  <c r="G95" i="1" s="1"/>
  <c r="G128" i="1"/>
  <c r="F184" i="1"/>
  <c r="G184" i="1" s="1"/>
  <c r="E207" i="1"/>
  <c r="F297" i="1"/>
  <c r="G297" i="1" s="1"/>
  <c r="F384" i="1"/>
  <c r="E411" i="1"/>
  <c r="F27" i="1"/>
  <c r="F26" i="1" s="1"/>
  <c r="I27" i="1"/>
  <c r="H27" i="1"/>
  <c r="H35" i="1"/>
  <c r="E421" i="1"/>
  <c r="H92" i="1"/>
  <c r="H96" i="1"/>
  <c r="H95" i="1" s="1"/>
  <c r="F107" i="1"/>
  <c r="F389" i="1"/>
  <c r="F421" i="1"/>
  <c r="H34" i="1"/>
  <c r="H136" i="1"/>
  <c r="H134" i="1" s="1"/>
  <c r="G175" i="1"/>
  <c r="G204" i="1"/>
  <c r="F352" i="1"/>
  <c r="G352" i="1" s="1"/>
  <c r="I26" i="1" l="1"/>
  <c r="I44" i="1" s="1"/>
  <c r="G107" i="1"/>
  <c r="F133" i="1"/>
  <c r="F150" i="1" s="1"/>
  <c r="G150" i="1"/>
  <c r="F44" i="1"/>
  <c r="H133" i="1"/>
  <c r="H150" i="1" s="1"/>
  <c r="G389" i="1"/>
  <c r="H26" i="1"/>
  <c r="H44" i="1" s="1"/>
  <c r="H389" i="1"/>
  <c r="H107" i="1"/>
</calcChain>
</file>

<file path=xl/sharedStrings.xml><?xml version="1.0" encoding="utf-8"?>
<sst xmlns="http://schemas.openxmlformats.org/spreadsheetml/2006/main" count="358" uniqueCount="150">
  <si>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</si>
  <si>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</si>
  <si>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</si>
  <si>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</si>
  <si>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</si>
  <si>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</si>
  <si>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</si>
  <si>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</si>
  <si>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</si>
  <si>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</si>
  <si>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</si>
  <si>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</si>
  <si>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</si>
  <si>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</si>
  <si>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</si>
  <si>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</si>
  <si>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</si>
  <si>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</si>
  <si>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</si>
  <si>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</si>
  <si>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</si>
  <si>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</si>
  <si>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</si>
  <si>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</si>
  <si>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</si>
  <si>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</si>
  <si>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</si>
  <si>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</si>
  <si>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</si>
  <si>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</si>
  <si>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</si>
  <si>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</si>
  <si>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</si>
  <si>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</si>
  <si>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</si>
  <si>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</si>
  <si>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</si>
  <si>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</si>
  <si>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</si>
  <si>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</si>
  <si>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</si>
  <si>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</si>
  <si>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</si>
  <si>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</si>
  <si>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</si>
  <si>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</si>
  <si>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</si>
  <si>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</si>
  <si>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</si>
  <si>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</si>
  <si>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</si>
  <si>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</si>
  <si>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</si>
  <si>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</si>
  <si>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</si>
  <si>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</si>
  <si>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</si>
  <si>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</si>
  <si>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</si>
  <si>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</si>
  <si>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</si>
  <si>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</si>
  <si>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</si>
  <si>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</si>
  <si>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</si>
  <si>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</si>
  <si>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</si>
  <si>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</si>
  <si>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</si>
  <si>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</si>
  <si>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</si>
  <si>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</si>
  <si>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</si>
  <si>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</si>
  <si>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</si>
  <si>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</si>
  <si>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</si>
  <si>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</si>
  <si>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</si>
  <si>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</si>
  <si>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</si>
  <si>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</si>
  <si>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</si>
  <si>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</si>
  <si>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</si>
  <si>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</si>
  <si>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</si>
  <si>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</si>
  <si>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</si>
  <si>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</si>
  <si>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</si>
  <si>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</si>
  <si>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</si>
  <si>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</si>
  <si>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</si>
  <si>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</si>
  <si>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</si>
  <si>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</si>
  <si>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</si>
  <si>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</si>
  <si>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</si>
  <si>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</si>
  <si>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</si>
  <si>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</si>
  <si>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</si>
  <si>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</si>
  <si>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</si>
  <si>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</si>
  <si>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</si>
  <si>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</si>
  <si>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</si>
  <si>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</si>
  <si>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</si>
  <si>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</si>
  <si>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</si>
  <si>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</si>
  <si>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</si>
  <si>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</si>
  <si>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</si>
  <si>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</si>
  <si>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</si>
  <si>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</si>
  <si>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</si>
  <si>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</si>
  <si>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</si>
  <si>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</si>
  <si>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</si>
  <si>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</si>
  <si>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</si>
  <si>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</si>
  <si>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</si>
  <si>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</si>
  <si>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</si>
  <si>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</si>
  <si>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</si>
  <si>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</si>
  <si>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</si>
  <si>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</si>
  <si>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</si>
  <si>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t>FANGST AV TORSK, HYSE, SEI, BLÅKVEITE, SNABELUER, LANGE, BROSME OG REKER I 2023</t>
  </si>
  <si>
    <t>Grunnet endringer i reguleringen, er fangstene ikke avregnet periodekvoter. Fangsttallene gjelder for hele 2023.</t>
  </si>
  <si>
    <t>Statistikk i henhold til ny regulering kommer på et senere tidspunkt.</t>
  </si>
  <si>
    <t>FANGST UKE 33</t>
  </si>
  <si>
    <t>FANGST T.O.M UKE 33</t>
  </si>
  <si>
    <t>RESTKVOTER UKE 33</t>
  </si>
  <si>
    <t>FANGST T.O.M UKE 33 2022</t>
  </si>
  <si>
    <r>
      <t xml:space="preserve">3 </t>
    </r>
    <r>
      <rPr>
        <sz val="9"/>
        <color indexed="8"/>
        <rFont val="Calibri"/>
        <family val="2"/>
      </rPr>
      <t>Registrert rekreasjonsfiske utgjør 672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</si>
  <si>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62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</si>
  <si>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5 241 tonn sei med konvensjonelle redskap som belastes notkvoten.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</si>
  <si>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582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</si>
</sst>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4" tint="0.79998168889431442"/>
        <bgColor indexed="65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30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3" fontId="7" fillId="2" borderId="2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0" fontId="2" fillId="0" borderId="3" xfId="0" applyFont="1" applyBorder="1"/>
    <xf numFmtId="0" fontId="8" fillId="0" borderId="4" xfId="0" applyFont="1" applyBorder="1" applyAlignment="1">
      <alignment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/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1" xfId="0" applyFont="1" applyBorder="1"/>
    <xf numFmtId="0" fontId="5" fillId="3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/>
    </xf>
    <xf numFmtId="0" fontId="5" fillId="3" borderId="14" xfId="0" applyFont="1" applyFill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right" vertical="center"/>
    </xf>
    <xf numFmtId="9" fontId="2" fillId="0" borderId="0" xfId="0" applyNumberFormat="1" applyFont="1"/>
    <xf numFmtId="3" fontId="9" fillId="0" borderId="15" xfId="0" applyNumberFormat="1" applyFont="1" applyBorder="1" applyAlignment="1">
      <alignment horizontal="right" vertical="center" wrapText="1"/>
    </xf>
    <xf numFmtId="0" fontId="14" fillId="0" borderId="8" xfId="0" applyFont="1" applyBorder="1" applyAlignment="1">
      <alignment horizontal="left" vertical="center"/>
    </xf>
    <xf numFmtId="3" fontId="14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9" fillId="0" borderId="16" xfId="0" applyFont="1" applyBorder="1" applyAlignment="1">
      <alignment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vertical="center" wrapText="1"/>
    </xf>
    <xf numFmtId="3" fontId="2" fillId="0" borderId="18" xfId="0" applyNumberFormat="1" applyFont="1" applyBorder="1" applyAlignment="1">
      <alignment horizontal="right" vertical="center" indent="1"/>
    </xf>
    <xf numFmtId="3" fontId="13" fillId="0" borderId="19" xfId="0" applyNumberFormat="1" applyFont="1" applyBorder="1" applyAlignment="1">
      <alignment horizontal="right" vertical="center"/>
    </xf>
    <xf numFmtId="3" fontId="16" fillId="0" borderId="20" xfId="0" applyNumberFormat="1" applyFont="1" applyBorder="1" applyAlignment="1">
      <alignment horizontal="right" vertical="center"/>
    </xf>
    <xf numFmtId="0" fontId="17" fillId="0" borderId="21" xfId="0" applyFont="1" applyBorder="1" applyAlignment="1">
      <alignment vertical="center" wrapText="1"/>
    </xf>
    <xf numFmtId="3" fontId="14" fillId="0" borderId="8" xfId="0" applyNumberFormat="1" applyFont="1" applyBorder="1" applyAlignment="1">
      <alignment horizontal="right" vertical="center"/>
    </xf>
    <xf numFmtId="3" fontId="13" fillId="0" borderId="2" xfId="0" applyNumberFormat="1" applyFont="1" applyBorder="1" applyAlignment="1">
      <alignment vertical="center"/>
    </xf>
    <xf numFmtId="3" fontId="7" fillId="3" borderId="2" xfId="0" applyNumberFormat="1" applyFont="1" applyFill="1" applyBorder="1" applyAlignment="1">
      <alignment horizontal="right" vertical="center" wrapText="1"/>
    </xf>
    <xf numFmtId="3" fontId="5" fillId="3" borderId="8" xfId="0" applyNumberFormat="1" applyFont="1" applyFill="1" applyBorder="1" applyAlignment="1">
      <alignment horizontal="right" vertical="center" wrapText="1"/>
    </xf>
    <xf numFmtId="3" fontId="5" fillId="3" borderId="2" xfId="0" applyNumberFormat="1" applyFont="1" applyFill="1" applyBorder="1" applyAlignment="1">
      <alignment vertical="center" wrapText="1"/>
    </xf>
    <xf numFmtId="3" fontId="9" fillId="0" borderId="22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 indent="1"/>
    </xf>
    <xf numFmtId="0" fontId="2" fillId="0" borderId="24" xfId="0" applyFont="1" applyBorder="1" applyAlignment="1">
      <alignment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indent="1"/>
    </xf>
    <xf numFmtId="0" fontId="2" fillId="0" borderId="21" xfId="0" applyFont="1" applyBorder="1" applyAlignment="1">
      <alignment vertical="center" wrapText="1"/>
    </xf>
    <xf numFmtId="3" fontId="2" fillId="0" borderId="26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7" fillId="2" borderId="1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3" fontId="2" fillId="0" borderId="29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2" fillId="0" borderId="30" xfId="0" applyFont="1" applyBorder="1"/>
    <xf numFmtId="3" fontId="17" fillId="0" borderId="17" xfId="0" applyNumberFormat="1" applyFont="1" applyBorder="1" applyAlignment="1">
      <alignment horizontal="right" vertical="center" wrapText="1"/>
    </xf>
    <xf numFmtId="0" fontId="18" fillId="0" borderId="24" xfId="0" applyFont="1" applyBorder="1" applyAlignment="1">
      <alignment vertical="center" wrapText="1"/>
    </xf>
    <xf numFmtId="3" fontId="18" fillId="0" borderId="25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/>
    </xf>
    <xf numFmtId="0" fontId="7" fillId="2" borderId="19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8" fillId="0" borderId="31" xfId="0" applyFont="1" applyBorder="1" applyAlignment="1">
      <alignment vertical="center" wrapText="1"/>
    </xf>
    <xf numFmtId="3" fontId="18" fillId="0" borderId="26" xfId="0" applyNumberFormat="1" applyFont="1" applyBorder="1" applyAlignment="1">
      <alignment horizontal="right" vertical="center" wrapText="1"/>
    </xf>
    <xf numFmtId="3" fontId="18" fillId="0" borderId="27" xfId="0" applyNumberFormat="1" applyFont="1" applyBorder="1" applyAlignment="1">
      <alignment horizontal="right" vertical="center" wrapText="1"/>
    </xf>
    <xf numFmtId="0" fontId="2" fillId="0" borderId="13" xfId="0" applyFont="1" applyBorder="1"/>
    <xf numFmtId="0" fontId="9" fillId="0" borderId="8" xfId="0" applyFont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3" fontId="17" fillId="0" borderId="29" xfId="0" applyNumberFormat="1" applyFont="1" applyBorder="1" applyAlignment="1">
      <alignment horizontal="right" vertical="center" wrapText="1"/>
    </xf>
    <xf numFmtId="3" fontId="7" fillId="2" borderId="32" xfId="0" applyNumberFormat="1" applyFont="1" applyFill="1" applyBorder="1" applyAlignment="1">
      <alignment horizontal="right" vertical="center" wrapText="1"/>
    </xf>
    <xf numFmtId="0" fontId="7" fillId="2" borderId="33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3" fontId="4" fillId="0" borderId="0" xfId="0" applyNumberFormat="1" applyFont="1" applyAlignment="1">
      <alignment vertical="center" wrapText="1"/>
    </xf>
    <xf numFmtId="164" fontId="20" fillId="0" borderId="1" xfId="0" applyNumberFormat="1" applyFont="1" applyBorder="1" applyAlignment="1">
      <alignment vertical="top"/>
    </xf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3" fontId="13" fillId="0" borderId="5" xfId="0" applyNumberFormat="1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3" fontId="9" fillId="0" borderId="34" xfId="0" applyNumberFormat="1" applyFont="1" applyBorder="1" applyAlignment="1">
      <alignment horizontal="right" vertical="center" wrapText="1"/>
    </xf>
    <xf numFmtId="3" fontId="9" fillId="0" borderId="3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3" fontId="9" fillId="0" borderId="19" xfId="0" applyNumberFormat="1" applyFont="1" applyBorder="1" applyAlignment="1">
      <alignment horizontal="right" vertical="center" wrapText="1"/>
    </xf>
    <xf numFmtId="3" fontId="9" fillId="0" borderId="3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3" fontId="13" fillId="0" borderId="22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7" fillId="2" borderId="40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2" fillId="0" borderId="19" xfId="0" applyNumberFormat="1" applyFont="1" applyBorder="1" applyAlignment="1">
      <alignment horizontal="right" vertical="center" indent="1"/>
    </xf>
    <xf numFmtId="0" fontId="2" fillId="0" borderId="3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2" fillId="0" borderId="36" xfId="0" applyNumberFormat="1" applyFont="1" applyBorder="1" applyAlignment="1">
      <alignment horizontal="right" vertical="center" indent="1"/>
    </xf>
    <xf numFmtId="0" fontId="2" fillId="0" borderId="7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3" fontId="9" fillId="0" borderId="8" xfId="0" applyNumberFormat="1" applyFont="1" applyBorder="1" applyAlignment="1">
      <alignment vertical="center"/>
    </xf>
    <xf numFmtId="3" fontId="17" fillId="0" borderId="41" xfId="0" applyNumberFormat="1" applyFont="1" applyBorder="1" applyAlignment="1">
      <alignment horizontal="right" vertical="center" wrapText="1"/>
    </xf>
    <xf numFmtId="0" fontId="2" fillId="0" borderId="42" xfId="0" applyFont="1" applyBorder="1"/>
    <xf numFmtId="3" fontId="17" fillId="0" borderId="6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3" fontId="18" fillId="0" borderId="12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" fillId="0" borderId="1" xfId="0" applyFont="1" applyBorder="1"/>
    <xf numFmtId="3" fontId="23" fillId="0" borderId="0" xfId="0" applyNumberFormat="1" applyFont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4" fillId="0" borderId="43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2" fillId="0" borderId="42" xfId="0" applyFont="1" applyBorder="1" applyAlignment="1">
      <alignment vertical="center"/>
    </xf>
    <xf numFmtId="3" fontId="9" fillId="0" borderId="8" xfId="0" applyNumberFormat="1" applyFont="1" applyBorder="1" applyAlignment="1">
      <alignment horizontal="right" vertical="center" wrapText="1"/>
    </xf>
    <xf numFmtId="0" fontId="9" fillId="0" borderId="3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3" fontId="9" fillId="0" borderId="32" xfId="0" applyNumberFormat="1" applyFont="1" applyBorder="1" applyAlignment="1">
      <alignment horizontal="right" vertical="center" wrapText="1"/>
    </xf>
    <xf numFmtId="0" fontId="9" fillId="0" borderId="37" xfId="0" applyFont="1" applyBorder="1" applyAlignment="1">
      <alignment vertical="center"/>
    </xf>
    <xf numFmtId="3" fontId="23" fillId="0" borderId="0" xfId="0" applyNumberFormat="1" applyFont="1" applyAlignment="1">
      <alignment horizontal="right" vertical="center" indent="1"/>
    </xf>
    <xf numFmtId="3" fontId="24" fillId="0" borderId="32" xfId="0" applyNumberFormat="1" applyFont="1" applyBorder="1" applyAlignment="1">
      <alignment horizontal="right" vertical="center" wrapText="1"/>
    </xf>
    <xf numFmtId="0" fontId="23" fillId="0" borderId="37" xfId="0" applyFont="1" applyBorder="1" applyAlignment="1">
      <alignment vertical="center"/>
    </xf>
    <xf numFmtId="0" fontId="2" fillId="0" borderId="22" xfId="0" applyFont="1" applyBorder="1"/>
    <xf numFmtId="0" fontId="7" fillId="2" borderId="28" xfId="0" applyFont="1" applyFill="1" applyBorder="1" applyAlignment="1">
      <alignment horizontal="center" vertical="center"/>
    </xf>
    <xf numFmtId="0" fontId="2" fillId="0" borderId="0" xfId="0" applyFont="1"/>
    <xf numFmtId="0" fontId="23" fillId="0" borderId="0" xfId="0" applyFont="1"/>
    <xf numFmtId="3" fontId="9" fillId="0" borderId="12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23" xfId="0" applyFont="1" applyBorder="1"/>
    <xf numFmtId="0" fontId="11" fillId="0" borderId="0" xfId="0" applyFont="1" applyAlignment="1">
      <alignment vertical="center"/>
    </xf>
    <xf numFmtId="0" fontId="7" fillId="2" borderId="28" xfId="0" applyFont="1" applyFill="1" applyBorder="1" applyAlignment="1">
      <alignment vertical="center" wrapText="1"/>
    </xf>
    <xf numFmtId="3" fontId="2" fillId="0" borderId="39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30" xfId="0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3" fontId="23" fillId="0" borderId="37" xfId="0" applyNumberFormat="1" applyFont="1" applyBorder="1" applyAlignment="1">
      <alignment horizontal="right" vertical="center" indent="1"/>
    </xf>
    <xf numFmtId="0" fontId="11" fillId="0" borderId="4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" fontId="11" fillId="0" borderId="0" xfId="0" applyNumberFormat="1" applyFont="1"/>
    <xf numFmtId="3" fontId="9" fillId="0" borderId="29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9" fillId="0" borderId="45" xfId="0" applyFont="1" applyBorder="1" applyAlignment="1">
      <alignment vertical="center" wrapText="1"/>
    </xf>
    <xf numFmtId="3" fontId="9" fillId="0" borderId="45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2" fillId="0" borderId="1" xfId="0" applyNumberFormat="1" applyFont="1" applyBorder="1" applyAlignment="1">
      <alignment vertical="center"/>
    </xf>
    <xf numFmtId="3" fontId="7" fillId="2" borderId="8" xfId="0" applyNumberFormat="1" applyFont="1" applyFill="1" applyBorder="1" applyAlignment="1">
      <alignment vertical="center" wrapText="1"/>
    </xf>
    <xf numFmtId="0" fontId="18" fillId="0" borderId="2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vertical="center"/>
    </xf>
    <xf numFmtId="3" fontId="18" fillId="0" borderId="29" xfId="0" applyNumberFormat="1" applyFont="1" applyBorder="1" applyAlignment="1">
      <alignment horizontal="right" vertical="center" wrapText="1"/>
    </xf>
    <xf numFmtId="3" fontId="24" fillId="0" borderId="19" xfId="0" applyNumberFormat="1" applyFont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8" fillId="0" borderId="0" xfId="0" applyNumberFormat="1" applyFont="1" applyAlignment="1">
      <alignment horizontal="right" vertical="center" wrapText="1"/>
    </xf>
    <xf numFmtId="1" fontId="18" fillId="0" borderId="0" xfId="0" applyNumberFormat="1" applyFont="1" applyAlignment="1">
      <alignment horizontal="right" vertical="center" wrapText="1"/>
    </xf>
    <xf numFmtId="1" fontId="9" fillId="0" borderId="22" xfId="0" applyNumberFormat="1" applyFont="1" applyBorder="1" applyAlignment="1">
      <alignment horizontal="right" vertical="center"/>
    </xf>
    <xf numFmtId="1" fontId="14" fillId="0" borderId="12" xfId="0" applyNumberFormat="1" applyFont="1" applyBorder="1" applyAlignment="1">
      <alignment horizontal="right" vertical="top"/>
    </xf>
    <xf numFmtId="1" fontId="13" fillId="0" borderId="22" xfId="0" applyNumberFormat="1" applyFont="1" applyBorder="1" applyAlignment="1">
      <alignment vertical="center"/>
    </xf>
    <xf numFmtId="1" fontId="9" fillId="0" borderId="38" xfId="0" applyNumberFormat="1" applyFont="1" applyBorder="1" applyAlignment="1">
      <alignment horizontal="right" vertical="center"/>
    </xf>
    <xf numFmtId="1" fontId="14" fillId="0" borderId="36" xfId="0" applyNumberFormat="1" applyFont="1" applyBorder="1" applyAlignment="1">
      <alignment horizontal="right" vertical="top"/>
    </xf>
    <xf numFmtId="1" fontId="13" fillId="0" borderId="38" xfId="0" applyNumberFormat="1" applyFont="1" applyBorder="1" applyAlignment="1">
      <alignment vertical="center"/>
    </xf>
    <xf numFmtId="0" fontId="2" fillId="0" borderId="4" xfId="0" applyFont="1" applyBorder="1"/>
    <xf numFmtId="0" fontId="26" fillId="0" borderId="0" xfId="0" applyFont="1"/>
    <xf numFmtId="0" fontId="27" fillId="0" borderId="7" xfId="0" applyFont="1" applyBorder="1" applyAlignment="1">
      <alignment vertical="center"/>
    </xf>
    <xf numFmtId="3" fontId="9" fillId="0" borderId="45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33" xfId="0" applyFont="1" applyBorder="1" applyAlignment="1">
      <alignment vertical="top" wrapText="1"/>
    </xf>
    <xf numFmtId="3" fontId="9" fillId="0" borderId="38" xfId="0" applyNumberFormat="1" applyFont="1" applyBorder="1" applyAlignment="1">
      <alignment horizontal="right" vertical="center"/>
    </xf>
    <xf numFmtId="3" fontId="24" fillId="0" borderId="20" xfId="0" applyNumberFormat="1" applyFont="1" applyBorder="1" applyAlignment="1">
      <alignment vertical="center"/>
    </xf>
    <xf numFmtId="0" fontId="5" fillId="3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2" fillId="0" borderId="0" xfId="0" applyNumberFormat="1" applyFont="1"/>
    <xf numFmtId="0" fontId="22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10" fillId="0" borderId="51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10" fillId="0" borderId="53" xfId="0" applyFont="1" applyBorder="1" applyAlignment="1">
      <alignment horizontal="center" vertical="center"/>
    </xf>
    <xf numFmtId="0" fontId="2" fillId="0" borderId="10" xfId="0" applyFont="1" applyBorder="1"/>
    <xf numFmtId="0" fontId="29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39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0" fontId="7" fillId="2" borderId="2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0" fontId="11" fillId="0" borderId="39" xfId="0" applyFont="1" applyBorder="1" applyAlignment="1">
      <alignment vertical="center" wrapText="1"/>
    </xf>
    <xf numFmtId="3" fontId="13" fillId="0" borderId="8" xfId="0" applyNumberFormat="1" applyFont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horizontal="right" vertical="center" indent="1"/>
    </xf>
    <xf numFmtId="3" fontId="23" fillId="0" borderId="25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3" fontId="23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9" fillId="0" borderId="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3" fontId="16" fillId="0" borderId="34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3" borderId="8" xfId="0" applyFont="1" applyFill="1" applyBorder="1" applyAlignment="1">
      <alignment horizontal="left" vertical="center" wrapText="1"/>
    </xf>
    <xf numFmtId="3" fontId="7" fillId="3" borderId="32" xfId="0" applyNumberFormat="1" applyFont="1" applyFill="1" applyBorder="1" applyAlignment="1">
      <alignment vertical="center" wrapText="1"/>
    </xf>
    <xf numFmtId="3" fontId="5" fillId="3" borderId="8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3" fontId="30" fillId="0" borderId="0" xfId="0" applyNumberFormat="1" applyFont="1" applyAlignment="1">
      <alignment horizontal="right" vertical="center" wrapText="1"/>
    </xf>
    <xf numFmtId="0" fontId="10" fillId="0" borderId="0" xfId="0" applyFont="1"/>
    <xf numFmtId="3" fontId="2" fillId="0" borderId="37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/>
    </xf>
    <xf numFmtId="3" fontId="9" fillId="0" borderId="19" xfId="0" applyNumberFormat="1" applyFont="1" applyBorder="1" applyAlignment="1">
      <alignment horizontal="right" vertical="center" wrapText="1"/>
    </xf>
    <xf numFmtId="3" fontId="9" fillId="0" borderId="36" xfId="0" applyNumberFormat="1" applyFont="1" applyBorder="1" applyAlignment="1">
      <alignment horizontal="right" vertical="center" wrapText="1"/>
    </xf>
    <xf numFmtId="3" fontId="9" fillId="0" borderId="37" xfId="0" applyNumberFormat="1" applyFont="1" applyBorder="1" applyAlignment="1">
      <alignment horizontal="righ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</cellXfs>
  <cellStyles count="2">
    <cellStyle name="20 % - uthevingsfarge 1" xfId="1" xr:uid="{CADAFD39-7222-4DAC-89AE-26BCCD003AE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08"/>
  <sheetViews>
    <sheetView showGridLines="0" tabSelected="1" showRuler="0" view="pageLayout" zoomScale="85" zoomScaleNormal="85" zoomScaleSheetLayoutView="100" zoomScalePageLayoutView="85" workbookViewId="0">
      <selection activeCell="K9" sqref="K9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7" t="s">
        <v>139</v>
      </c>
      <c r="C2" s="298"/>
      <c r="D2" s="298"/>
      <c r="E2" s="298"/>
      <c r="F2" s="298"/>
      <c r="G2" s="298"/>
      <c r="H2" s="298"/>
      <c r="I2" s="298"/>
      <c r="J2" s="299"/>
    </row>
    <row r="3" spans="1:10" ht="14.85" customHeight="1" x14ac:dyDescent="0.25">
      <c r="A3" s="1"/>
      <c r="B3" s="1"/>
      <c r="C3" s="1" t="s">
        <v>119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119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119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119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119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0"/>
      <c r="C9" s="301"/>
      <c r="D9" s="301"/>
      <c r="E9" s="301"/>
      <c r="F9" s="301"/>
      <c r="G9" s="301"/>
      <c r="H9" s="301"/>
      <c r="I9" s="301"/>
      <c r="J9" s="302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4" t="s">
        <v>1</v>
      </c>
      <c r="D11" s="295"/>
      <c r="E11" s="294" t="s">
        <v>2</v>
      </c>
      <c r="F11" s="295"/>
      <c r="G11" s="294" t="s">
        <v>3</v>
      </c>
      <c r="H11" s="295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2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25">
      <c r="A17" s="101"/>
      <c r="B17" s="24"/>
      <c r="C17" s="101" t="s">
        <v>135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142</v>
      </c>
      <c r="G22" s="68" t="s">
        <v>143</v>
      </c>
      <c r="H22" s="68" t="s">
        <v>144</v>
      </c>
      <c r="I22" s="68" t="s">
        <v>145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227.16900000000001</v>
      </c>
      <c r="G23" s="28">
        <f t="shared" si="0"/>
        <v>53418.663370000002</v>
      </c>
      <c r="H23" s="11">
        <f t="shared" si="0"/>
        <v>33408.336629999998</v>
      </c>
      <c r="I23" s="11">
        <f t="shared" si="0"/>
        <v>68946.934510000006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79217</v>
      </c>
      <c r="E24" s="48">
        <v>86045</v>
      </c>
      <c r="F24" s="23">
        <f>226.9965</f>
        <v>226.9965</v>
      </c>
      <c r="G24" s="23">
        <f>53062.92702</f>
        <v>53062.927020000003</v>
      </c>
      <c r="H24" s="23">
        <f>E24-G24</f>
        <v>32982.072979999997</v>
      </c>
      <c r="I24" s="23">
        <f>68589.27254</f>
        <v>68589.272540000005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0.1725</f>
        <v>0.17249999999999999</v>
      </c>
      <c r="G25" s="23">
        <f>355.73635</f>
        <v>355.73635000000002</v>
      </c>
      <c r="H25" s="23">
        <f>E25-G25</f>
        <v>426.26364999999998</v>
      </c>
      <c r="I25" s="23">
        <f>357.66197</f>
        <v>357.66197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831.47186999999997</v>
      </c>
      <c r="G26" s="11">
        <f t="shared" si="1"/>
        <v>173306.82022999998</v>
      </c>
      <c r="H26" s="11">
        <f t="shared" si="1"/>
        <v>24263.179769999995</v>
      </c>
      <c r="I26" s="11">
        <f t="shared" si="1"/>
        <v>208976.67479999998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626.16337999999996</v>
      </c>
      <c r="G27" s="134">
        <f t="shared" ref="G27:I27" si="2">G28+G29+G30+G31+G32</f>
        <v>136856.54527999999</v>
      </c>
      <c r="H27" s="134">
        <f t="shared" si="2"/>
        <v>15794.454719999998</v>
      </c>
      <c r="I27" s="134">
        <f t="shared" si="2"/>
        <v>170768.29074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32925</v>
      </c>
      <c r="E28" s="65">
        <v>39549</v>
      </c>
      <c r="F28" s="205">
        <f>74.64707</f>
        <v>74.647069999999999</v>
      </c>
      <c r="G28" s="129">
        <f>36835.25262 - F57</f>
        <v>35824.252619999999</v>
      </c>
      <c r="H28" s="129">
        <f t="shared" ref="H28:H40" si="3">E28-G28</f>
        <v>3724.7473800000007</v>
      </c>
      <c r="I28" s="129">
        <f>42810.6828 - H57</f>
        <v>42810.682800000002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36657</v>
      </c>
      <c r="E29" s="65">
        <v>40764</v>
      </c>
      <c r="F29" s="129">
        <f>139.85673</f>
        <v>139.85673</v>
      </c>
      <c r="G29" s="129">
        <f>38290.44453 - F58</f>
        <v>36297.444530000001</v>
      </c>
      <c r="H29" s="129">
        <f t="shared" si="3"/>
        <v>4466.5554699999993</v>
      </c>
      <c r="I29" s="129">
        <f>46997.56903 - H58</f>
        <v>46997.569029999999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33272</v>
      </c>
      <c r="E30" s="65">
        <v>37267</v>
      </c>
      <c r="F30" s="129">
        <f>79.81792</f>
        <v>79.817920000000001</v>
      </c>
      <c r="G30" s="129">
        <f>36759.82897 - F59</f>
        <v>35848.828970000002</v>
      </c>
      <c r="H30" s="129">
        <f t="shared" si="3"/>
        <v>1418.1710299999977</v>
      </c>
      <c r="I30" s="129">
        <f>47111.72033 - H59</f>
        <v>47111.720329999996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24281</v>
      </c>
      <c r="E31" s="65">
        <v>25407</v>
      </c>
      <c r="F31" s="129">
        <f>23.84166</f>
        <v>23.841660000000001</v>
      </c>
      <c r="G31" s="129">
        <f>24850.01916 - F60</f>
        <v>24446.01916</v>
      </c>
      <c r="H31" s="129">
        <f t="shared" si="3"/>
        <v>960.98084000000017</v>
      </c>
      <c r="I31" s="129">
        <f>33848.31858 - H60</f>
        <v>33848.318579999999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308</v>
      </c>
      <c r="G32" s="129">
        <f>F55</f>
        <v>4440</v>
      </c>
      <c r="H32" s="129">
        <f t="shared" si="3"/>
        <v>5224</v>
      </c>
      <c r="I32" s="129">
        <f>H55</f>
        <v>0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21768</v>
      </c>
      <c r="E33" s="60">
        <v>23586</v>
      </c>
      <c r="F33" s="134">
        <f>98.85824</f>
        <v>98.858239999999995</v>
      </c>
      <c r="G33" s="134">
        <f>15547.08578</f>
        <v>15547.085779999999</v>
      </c>
      <c r="H33" s="134">
        <f t="shared" si="3"/>
        <v>8038.9142200000006</v>
      </c>
      <c r="I33" s="134">
        <f>18170.53466</f>
        <v>18170.534660000001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106.45025</v>
      </c>
      <c r="G34" s="134">
        <f>G35+G36</f>
        <v>20903.189170000001</v>
      </c>
      <c r="H34" s="134">
        <f t="shared" si="3"/>
        <v>429.81082999999853</v>
      </c>
      <c r="I34" s="134">
        <f>I35+I36</f>
        <v>20037.849399999999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15290</v>
      </c>
      <c r="E35" s="65">
        <v>20133</v>
      </c>
      <c r="F35" s="129">
        <f>65.45025</f>
        <v>65.450249999999997</v>
      </c>
      <c r="G35" s="134">
        <f>24843.18917 - F61 - F62</f>
        <v>20499.189170000001</v>
      </c>
      <c r="H35" s="129">
        <f t="shared" si="3"/>
        <v>-366.18917000000147</v>
      </c>
      <c r="I35" s="129">
        <f>21696.8494 - H61 - H62</f>
        <v>20037.849399999999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41</v>
      </c>
      <c r="G36" s="73">
        <f>F60</f>
        <v>404</v>
      </c>
      <c r="H36" s="73">
        <f t="shared" si="3"/>
        <v>796</v>
      </c>
      <c r="I36" s="73">
        <f>H60</f>
        <v>0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511.3746</f>
        <v>511.37459999999999</v>
      </c>
      <c r="H37" s="141">
        <f t="shared" si="3"/>
        <v>2488.6253999999999</v>
      </c>
      <c r="I37" s="141">
        <f>333.80295</f>
        <v>333.80295000000001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0</f>
        <v>0</v>
      </c>
      <c r="G38" s="100">
        <f>486.66974</f>
        <v>486.66973999999999</v>
      </c>
      <c r="H38" s="100">
        <f t="shared" si="3"/>
        <v>364.33026000000001</v>
      </c>
      <c r="I38" s="100">
        <f>458.36041</f>
        <v>458.36041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2</v>
      </c>
      <c r="G39" s="100">
        <f>F61</f>
        <v>4344</v>
      </c>
      <c r="H39" s="100">
        <f t="shared" si="3"/>
        <v>-1296</v>
      </c>
      <c r="I39" s="100">
        <f>H61</f>
        <v>1659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7.87175</f>
        <v>7.8717499999999996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1068.5156199999999</v>
      </c>
      <c r="G44" s="78">
        <f t="shared" si="4"/>
        <v>239147.08894000002</v>
      </c>
      <c r="H44" s="78">
        <f t="shared" si="4"/>
        <v>59548.911059999962</v>
      </c>
      <c r="I44" s="78">
        <f t="shared" si="4"/>
        <v>287495.71109999996</v>
      </c>
      <c r="J44" s="242"/>
    </row>
    <row r="45" spans="1:13" ht="14.1" customHeight="1" x14ac:dyDescent="0.25">
      <c r="A45" s="101"/>
      <c r="B45" s="24"/>
      <c r="C45" s="80" t="s">
        <v>127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146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126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0" t="s">
        <v>44</v>
      </c>
      <c r="D52" s="290"/>
      <c r="E52" s="290"/>
      <c r="F52" s="290"/>
      <c r="G52" s="290"/>
      <c r="H52" s="290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thickBot="1" x14ac:dyDescent="0.3">
      <c r="A54" s="101"/>
      <c r="B54" s="24"/>
      <c r="C54" s="88" t="s">
        <v>16</v>
      </c>
      <c r="D54" s="68" t="s">
        <v>45</v>
      </c>
      <c r="E54" s="68" t="s">
        <v>142</v>
      </c>
      <c r="F54" s="68" t="s">
        <v>143</v>
      </c>
      <c r="G54" s="68" t="s">
        <v>144</v>
      </c>
      <c r="H54" s="68" t="s">
        <v>145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1">
        <v>9840</v>
      </c>
      <c r="E55" s="11">
        <v>308</v>
      </c>
      <c r="F55" s="11">
        <f>F59+F58+F57+F56</f>
        <v>4440</v>
      </c>
      <c r="G55" s="291">
        <f>D55-F55</f>
        <v>5400</v>
      </c>
      <c r="H55" s="11"/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292"/>
      <c r="E56" s="129">
        <v>59</v>
      </c>
      <c r="F56" s="129">
        <v>525</v>
      </c>
      <c r="G56" s="292"/>
      <c r="H56" s="129"/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292"/>
      <c r="E57" s="129">
        <v>112</v>
      </c>
      <c r="F57" s="129">
        <v>1011</v>
      </c>
      <c r="G57" s="292"/>
      <c r="H57" s="129"/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292"/>
      <c r="E58" s="129">
        <v>104</v>
      </c>
      <c r="F58" s="129">
        <v>1993</v>
      </c>
      <c r="G58" s="292"/>
      <c r="H58" s="129"/>
      <c r="I58" s="256"/>
      <c r="J58" s="242"/>
    </row>
    <row r="59" spans="1:10" ht="14.1" customHeight="1" thickBot="1" x14ac:dyDescent="0.3">
      <c r="A59" s="101"/>
      <c r="B59" s="24"/>
      <c r="C59" s="89" t="s">
        <v>27</v>
      </c>
      <c r="D59" s="293"/>
      <c r="E59" s="194">
        <v>33</v>
      </c>
      <c r="F59" s="194">
        <v>911</v>
      </c>
      <c r="G59" s="293"/>
      <c r="H59" s="194"/>
      <c r="I59" s="256"/>
      <c r="J59" s="242"/>
    </row>
    <row r="60" spans="1:10" ht="14.1" customHeight="1" thickBot="1" x14ac:dyDescent="0.3">
      <c r="A60" s="101"/>
      <c r="B60" s="24"/>
      <c r="C60" s="91" t="s">
        <v>47</v>
      </c>
      <c r="D60" s="97">
        <v>1200</v>
      </c>
      <c r="E60" s="97">
        <v>41</v>
      </c>
      <c r="F60" s="97">
        <v>404</v>
      </c>
      <c r="G60" s="97">
        <f>D60-F60</f>
        <v>796</v>
      </c>
      <c r="H60" s="97"/>
      <c r="I60" s="256"/>
      <c r="J60" s="242"/>
    </row>
    <row r="61" spans="1:10" ht="14.1" customHeight="1" thickBot="1" x14ac:dyDescent="0.3">
      <c r="A61" s="101"/>
      <c r="B61" s="24"/>
      <c r="C61" s="144" t="s">
        <v>48</v>
      </c>
      <c r="D61" s="141">
        <v>3000</v>
      </c>
      <c r="E61" s="141">
        <v>2</v>
      </c>
      <c r="F61" s="141">
        <v>4344</v>
      </c>
      <c r="G61" s="141">
        <f>D61-F61</f>
        <v>-1344</v>
      </c>
      <c r="H61" s="141">
        <v>1659</v>
      </c>
      <c r="I61" s="256"/>
      <c r="J61" s="242"/>
    </row>
    <row r="62" spans="1:10" ht="14.1" customHeight="1" x14ac:dyDescent="0.25">
      <c r="A62" s="101"/>
      <c r="B62" s="24"/>
      <c r="C62" s="80" t="s">
        <v>123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119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4" t="s">
        <v>1</v>
      </c>
      <c r="D81" s="295"/>
      <c r="E81" s="294" t="s">
        <v>2</v>
      </c>
      <c r="F81" s="296"/>
      <c r="G81" s="294" t="s">
        <v>3</v>
      </c>
      <c r="H81" s="295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" customHeight="1" x14ac:dyDescent="0.2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25">
      <c r="A86" s="1"/>
      <c r="B86" s="252"/>
      <c r="C86" s="101" t="s">
        <v>136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142</v>
      </c>
      <c r="G91" s="15" t="s">
        <v>143</v>
      </c>
      <c r="H91" s="15" t="s">
        <v>144</v>
      </c>
      <c r="I91" s="15" t="s">
        <v>145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11.721920000000001</v>
      </c>
      <c r="G92" s="11">
        <f t="shared" si="5"/>
        <v>39248.966110000001</v>
      </c>
      <c r="H92" s="11">
        <f t="shared" si="5"/>
        <v>-4449.9661100000012</v>
      </c>
      <c r="I92" s="11">
        <f t="shared" si="5"/>
        <v>36170.64273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31285</v>
      </c>
      <c r="E93" s="48">
        <v>33987</v>
      </c>
      <c r="F93" s="23">
        <f>8.83932</f>
        <v>8.8393200000000007</v>
      </c>
      <c r="G93" s="23">
        <f>38747.68372</f>
        <v>38747.683720000001</v>
      </c>
      <c r="H93" s="23">
        <f>E93-G93</f>
        <v>-4760.6837200000009</v>
      </c>
      <c r="I93" s="23">
        <f>35466.98866</f>
        <v>35466.988660000003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2.8826</f>
        <v>2.8826000000000001</v>
      </c>
      <c r="G94" s="52">
        <f>501.28239</f>
        <v>501.28239000000002</v>
      </c>
      <c r="H94" s="52">
        <f>E94-G94</f>
        <v>310.71760999999998</v>
      </c>
      <c r="I94" s="52">
        <f>703.65407</f>
        <v>703.65407000000005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391.57522</v>
      </c>
      <c r="G95" s="11">
        <f t="shared" si="6"/>
        <v>26621.145719999997</v>
      </c>
      <c r="H95" s="11">
        <f t="shared" si="6"/>
        <v>32878.85428</v>
      </c>
      <c r="I95" s="11">
        <f t="shared" si="6"/>
        <v>31203.495360000001</v>
      </c>
      <c r="J95" s="242"/>
    </row>
    <row r="96" spans="1:10" ht="14.1" customHeight="1" x14ac:dyDescent="0.2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249.04483999999999</v>
      </c>
      <c r="G96" s="134">
        <f t="shared" si="7"/>
        <v>19236.101699999999</v>
      </c>
      <c r="H96" s="134">
        <f t="shared" si="7"/>
        <v>25254.898300000001</v>
      </c>
      <c r="I96" s="134">
        <f t="shared" si="7"/>
        <v>24789.34575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10751</v>
      </c>
      <c r="E97" s="65">
        <v>11883.7</v>
      </c>
      <c r="F97" s="129">
        <f>67.51052</f>
        <v>67.51052</v>
      </c>
      <c r="G97" s="129">
        <f>2744.22791</f>
        <v>2744.2279100000001</v>
      </c>
      <c r="H97" s="129">
        <f t="shared" ref="H97:H104" si="8">E97-G97</f>
        <v>9139.4720900000011</v>
      </c>
      <c r="I97" s="129">
        <f>2754.22027</f>
        <v>2754.2202699999998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11448</v>
      </c>
      <c r="E98" s="65">
        <v>12665.1</v>
      </c>
      <c r="F98" s="129">
        <f>23.69456</f>
        <v>23.694559999999999</v>
      </c>
      <c r="G98" s="129">
        <f>5822.67145</f>
        <v>5822.6714499999998</v>
      </c>
      <c r="H98" s="129">
        <f t="shared" si="8"/>
        <v>6842.4285500000005</v>
      </c>
      <c r="I98" s="129">
        <f>8427.3505</f>
        <v>8427.3505000000005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10830</v>
      </c>
      <c r="E99" s="65">
        <v>11965.6</v>
      </c>
      <c r="F99" s="129">
        <f>146.20606</f>
        <v>146.20606000000001</v>
      </c>
      <c r="G99" s="129">
        <f>5799.16495</f>
        <v>5799.1649500000003</v>
      </c>
      <c r="H99" s="129">
        <f t="shared" si="8"/>
        <v>6166.43505</v>
      </c>
      <c r="I99" s="129">
        <f>6935.65495</f>
        <v>6935.6549500000001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7233</v>
      </c>
      <c r="E100" s="65">
        <v>7976.6</v>
      </c>
      <c r="F100" s="129">
        <f>11.6337</f>
        <v>11.633699999999999</v>
      </c>
      <c r="G100" s="129">
        <f>4870.03739</f>
        <v>4870.0373900000004</v>
      </c>
      <c r="H100" s="129">
        <f t="shared" si="8"/>
        <v>3106.5626099999999</v>
      </c>
      <c r="I100" s="129">
        <f>6672.12003</f>
        <v>6672.12003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9408</v>
      </c>
      <c r="E101" s="60">
        <v>10391</v>
      </c>
      <c r="F101" s="134">
        <f>126.56138</f>
        <v>126.56138</v>
      </c>
      <c r="G101" s="134">
        <f>6021.9148</f>
        <v>6021.9147999999996</v>
      </c>
      <c r="H101" s="134">
        <f t="shared" si="8"/>
        <v>4369.0852000000004</v>
      </c>
      <c r="I101" s="134">
        <f>5271.20212</f>
        <v>5271.2021199999999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4181</v>
      </c>
      <c r="E102" s="63">
        <v>4618</v>
      </c>
      <c r="F102" s="77">
        <f>15.969</f>
        <v>15.968999999999999</v>
      </c>
      <c r="G102" s="77">
        <f>1363.12922</f>
        <v>1363.12922</v>
      </c>
      <c r="H102" s="77">
        <f t="shared" si="8"/>
        <v>3254.8707800000002</v>
      </c>
      <c r="I102" s="77">
        <f>1142.94749</f>
        <v>1142.94749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</f>
        <v>0</v>
      </c>
      <c r="G103" s="100">
        <f>11.24867</f>
        <v>11.248670000000001</v>
      </c>
      <c r="H103" s="100">
        <f t="shared" si="8"/>
        <v>308.75133</v>
      </c>
      <c r="I103" s="100">
        <f>21.99483</f>
        <v>21.99483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0.44908</f>
        <v>0.44907999999999998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403.74621999999999</v>
      </c>
      <c r="G107" s="78">
        <f t="shared" si="9"/>
        <v>66190.128299999982</v>
      </c>
      <c r="H107" s="78">
        <f t="shared" si="9"/>
        <v>28778.871700000011</v>
      </c>
      <c r="I107" s="78">
        <f t="shared" si="9"/>
        <v>67739.867699999988</v>
      </c>
      <c r="J107" s="242"/>
    </row>
    <row r="108" spans="1:10" ht="13.5" customHeight="1" x14ac:dyDescent="0.25">
      <c r="A108" s="1"/>
      <c r="B108" s="252"/>
      <c r="C108" s="80" t="s">
        <v>125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147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124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119</v>
      </c>
      <c r="D113" s="226"/>
      <c r="E113" s="226"/>
      <c r="F113" s="226"/>
      <c r="G113" s="226"/>
      <c r="H113" s="226"/>
      <c r="I113" s="101"/>
      <c r="J113" s="101" t="s">
        <v>119</v>
      </c>
    </row>
    <row r="114" spans="1:10" ht="14.25" customHeight="1" x14ac:dyDescent="0.25">
      <c r="A114" s="1"/>
      <c r="B114" s="101"/>
      <c r="C114" s="101" t="s">
        <v>119</v>
      </c>
      <c r="D114" s="101" t="s">
        <v>119</v>
      </c>
      <c r="E114" s="101"/>
      <c r="F114" s="101"/>
      <c r="G114" s="101"/>
      <c r="H114" s="101"/>
      <c r="I114" s="101"/>
      <c r="J114" s="101" t="s">
        <v>119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212994</v>
      </c>
      <c r="E119" s="102" t="s">
        <v>4</v>
      </c>
      <c r="F119" s="116">
        <v>77294</v>
      </c>
      <c r="G119" s="117" t="s">
        <v>5</v>
      </c>
      <c r="H119" s="116">
        <v>8732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79383</v>
      </c>
      <c r="G120" s="117" t="s">
        <v>8</v>
      </c>
      <c r="H120" s="119">
        <v>59537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1700</v>
      </c>
      <c r="E121" s="117" t="s">
        <v>60</v>
      </c>
      <c r="F121" s="119">
        <v>52226</v>
      </c>
      <c r="G121" s="117" t="s">
        <v>11</v>
      </c>
      <c r="H121" s="119">
        <v>11114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212994</v>
      </c>
      <c r="G123" s="180" t="s">
        <v>7</v>
      </c>
      <c r="H123" s="35">
        <v>79383</v>
      </c>
      <c r="I123" s="181"/>
      <c r="J123" s="242"/>
    </row>
    <row r="124" spans="1:10" ht="12" customHeight="1" x14ac:dyDescent="0.25">
      <c r="A124" s="101"/>
      <c r="B124" s="24"/>
      <c r="C124" s="101" t="s">
        <v>128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142</v>
      </c>
      <c r="G127" s="15" t="s">
        <v>143</v>
      </c>
      <c r="H127" s="15" t="s">
        <v>144</v>
      </c>
      <c r="I127" s="15" t="s">
        <v>145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77294</v>
      </c>
      <c r="E128" s="28">
        <f t="shared" ref="E128" si="10">E129+E130+E131</f>
        <v>70707</v>
      </c>
      <c r="F128" s="11">
        <f t="shared" ref="F128:I128" si="11">F129+F130+F131</f>
        <v>342.09995000000004</v>
      </c>
      <c r="G128" s="11">
        <f t="shared" si="11"/>
        <v>43118.766369999998</v>
      </c>
      <c r="H128" s="11">
        <f t="shared" si="11"/>
        <v>27588.233630000002</v>
      </c>
      <c r="I128" s="11">
        <f t="shared" si="11"/>
        <v>42008.407059999998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61835</v>
      </c>
      <c r="E129" s="48">
        <v>56225</v>
      </c>
      <c r="F129" s="23">
        <f>194.87705</f>
        <v>194.87705</v>
      </c>
      <c r="G129" s="23">
        <f>38138.23542</f>
        <v>38138.235419999997</v>
      </c>
      <c r="H129" s="23">
        <f>E129-G129</f>
        <v>18086.764580000003</v>
      </c>
      <c r="I129" s="23">
        <f>35933.1794</f>
        <v>35933.179400000001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14959</v>
      </c>
      <c r="E130" s="48">
        <v>13982</v>
      </c>
      <c r="F130" s="23">
        <f>147.2229</f>
        <v>147.22290000000001</v>
      </c>
      <c r="G130" s="23">
        <f>4980.53095</f>
        <v>4980.5309500000003</v>
      </c>
      <c r="H130" s="23">
        <f>E130-G130</f>
        <v>9001.4690499999997</v>
      </c>
      <c r="I130" s="23">
        <f>6075.22766</f>
        <v>6075.2276599999996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25">
      <c r="A132" s="70"/>
      <c r="B132" s="81"/>
      <c r="C132" s="91" t="s">
        <v>65</v>
      </c>
      <c r="D132" s="93">
        <v>52226</v>
      </c>
      <c r="E132" s="93">
        <v>49285</v>
      </c>
      <c r="F132" s="97">
        <f>935.6192</f>
        <v>935.61919999999998</v>
      </c>
      <c r="G132" s="97">
        <f>34451.64049+5241.16118</f>
        <v>39692.801670000001</v>
      </c>
      <c r="H132" s="97">
        <f>E132-G132</f>
        <v>9592.1983299999993</v>
      </c>
      <c r="I132" s="97">
        <f>36764.38448</f>
        <v>36764.384480000001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80892</v>
      </c>
      <c r="E133" s="145">
        <f>E134+E139+E142</f>
        <v>81112</v>
      </c>
      <c r="F133" s="96">
        <f>F134+F139+F142</f>
        <v>1701.4251399999998</v>
      </c>
      <c r="G133" s="96">
        <f t="shared" ref="G133" si="12">G134+G139+G142</f>
        <v>52476.929179999999</v>
      </c>
      <c r="H133" s="96">
        <f>H134+H139+H142</f>
        <v>28635.070819999997</v>
      </c>
      <c r="I133" s="96">
        <f>I134+I139+I142</f>
        <v>51845.580410000002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61046</v>
      </c>
      <c r="E134" s="125">
        <f>E135+E136+E137+E138</f>
        <v>59633</v>
      </c>
      <c r="F134" s="127">
        <f>F135+F136+F137+F138</f>
        <v>1349.0286999999998</v>
      </c>
      <c r="G134" s="127">
        <f>G135+G136+G138+G137</f>
        <v>40594.785109999997</v>
      </c>
      <c r="H134" s="127">
        <f>H135+H136+H137+H138</f>
        <v>19038.214889999996</v>
      </c>
      <c r="I134" s="127">
        <f>I135+I136+I137+I138</f>
        <v>40799.424590000002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16203</v>
      </c>
      <c r="E135" s="65">
        <v>17538</v>
      </c>
      <c r="F135" s="129">
        <f>200.08753</f>
        <v>200.08752999999999</v>
      </c>
      <c r="G135" s="129">
        <v>6990.22217</v>
      </c>
      <c r="H135" s="129">
        <f>E135-G135</f>
        <v>10547.777829999999</v>
      </c>
      <c r="I135" s="129">
        <f>6185.04028</f>
        <v>6185.0402800000002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16593</v>
      </c>
      <c r="E136" s="65">
        <v>15118</v>
      </c>
      <c r="F136" s="129">
        <f>341.4539</f>
        <v>341.45389999999998</v>
      </c>
      <c r="G136" s="129">
        <v>11691.05256</v>
      </c>
      <c r="H136" s="129">
        <f>E136-G136</f>
        <v>3426.9474399999999</v>
      </c>
      <c r="I136" s="129">
        <f>9554.00026</f>
        <v>9554.0002600000007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15164</v>
      </c>
      <c r="E137" s="65">
        <v>15056</v>
      </c>
      <c r="F137" s="129">
        <f>487.52947</f>
        <v>487.52947</v>
      </c>
      <c r="G137" s="129">
        <v>12059.412220000002</v>
      </c>
      <c r="H137" s="129">
        <f>E137-G137</f>
        <v>2996.587779999998</v>
      </c>
      <c r="I137" s="129">
        <f>13096.14104</f>
        <v>13096.14104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13085</v>
      </c>
      <c r="E138" s="65">
        <v>11921</v>
      </c>
      <c r="F138" s="129">
        <f>319.9578</f>
        <v>319.95780000000002</v>
      </c>
      <c r="G138" s="129">
        <v>9854.0981599999996</v>
      </c>
      <c r="H138" s="129">
        <f>E138-G138</f>
        <v>2066.9018400000004</v>
      </c>
      <c r="I138" s="129">
        <f>11964.24301</f>
        <v>11964.24301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8732</v>
      </c>
      <c r="E139" s="60">
        <f>E141+E140</f>
        <v>9451</v>
      </c>
      <c r="F139" s="134">
        <f>SUM(F140:F141)</f>
        <v>117.43857</v>
      </c>
      <c r="G139" s="134">
        <f>SUM(G140:G141)</f>
        <v>6720.0829899999999</v>
      </c>
      <c r="H139" s="134">
        <f>H140+H141</f>
        <v>2730.9170100000001</v>
      </c>
      <c r="I139" s="134">
        <f>SUM(I140:I141)</f>
        <v>6114.0584099999996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8232</v>
      </c>
      <c r="E140" s="65">
        <v>8951</v>
      </c>
      <c r="F140" s="129">
        <f>112.51377</f>
        <v>112.51376999999999</v>
      </c>
      <c r="G140" s="129">
        <f>6536.26778</f>
        <v>6536.2677800000001</v>
      </c>
      <c r="H140" s="129">
        <f t="shared" ref="H140:H147" si="13">E140-G140</f>
        <v>2414.7322199999999</v>
      </c>
      <c r="I140" s="129">
        <f>5941.74494</f>
        <v>5941.7449399999996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4.9248</f>
        <v>4.9248000000000003</v>
      </c>
      <c r="G141" s="129">
        <f>183.81521</f>
        <v>183.81521000000001</v>
      </c>
      <c r="H141" s="129">
        <f t="shared" si="13"/>
        <v>316.18479000000002</v>
      </c>
      <c r="I141" s="129">
        <f>172.31347</f>
        <v>172.31347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11114</v>
      </c>
      <c r="E142" s="63">
        <v>12028</v>
      </c>
      <c r="F142" s="77">
        <f>234.95787</f>
        <v>234.95787000000001</v>
      </c>
      <c r="G142" s="77">
        <f>5162.06108</f>
        <v>5162.0610800000004</v>
      </c>
      <c r="H142" s="77">
        <f t="shared" si="13"/>
        <v>6865.9389199999996</v>
      </c>
      <c r="I142" s="77">
        <f>4932.09741</f>
        <v>4932.0974100000003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0</f>
        <v>0</v>
      </c>
      <c r="G143" s="141">
        <f>30.361</f>
        <v>30.361000000000001</v>
      </c>
      <c r="H143" s="141">
        <f t="shared" si="13"/>
        <v>106.639</v>
      </c>
      <c r="I143" s="141">
        <f>21.55052</f>
        <v>21.550519999999999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262.581</f>
        <v>262.58100000000002</v>
      </c>
      <c r="H144" s="100">
        <f t="shared" si="13"/>
        <v>-12.581000000000017</v>
      </c>
      <c r="I144" s="100">
        <f>306.976</f>
        <v>306.976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18.3659</f>
        <v>18.3659</v>
      </c>
      <c r="G145" s="141">
        <v>2000</v>
      </c>
      <c r="H145" s="141">
        <f t="shared" si="13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3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41"/>
      <c r="G147" s="141"/>
      <c r="H147" s="141">
        <f t="shared" si="13"/>
        <v>195</v>
      </c>
      <c r="I147" s="141"/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4">D128+D132+D133+D143+D144+D145+D146+D147+D148</f>
        <v>212994</v>
      </c>
      <c r="E150" s="78">
        <f t="shared" si="14"/>
        <v>203686</v>
      </c>
      <c r="F150" s="78">
        <f>F128+F132+F133+F143+F144+F145+F146+F147+F148</f>
        <v>2997.5101899999995</v>
      </c>
      <c r="G150" s="78">
        <f>G128+G132+G133+G143+G144+G145+G146+G147+G148</f>
        <v>137581.43922</v>
      </c>
      <c r="H150" s="78">
        <f>H128+H132+H133+H143+H144+H145+H146+H147+H148</f>
        <v>66104.560779999985</v>
      </c>
      <c r="I150" s="78">
        <f>I128+I132+I133+I143+I144+I145+I146+I147+I148</f>
        <v>132946.89847000001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129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148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149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130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119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119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119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142</v>
      </c>
      <c r="F174" s="15" t="s">
        <v>143</v>
      </c>
      <c r="G174" s="56" t="s">
        <v>144</v>
      </c>
      <c r="H174" s="15" t="s">
        <v>145</v>
      </c>
      <c r="I174" s="159"/>
      <c r="J174" s="278"/>
    </row>
    <row r="175" spans="1:10" ht="14.1" customHeight="1" x14ac:dyDescent="0.25">
      <c r="A175" s="1"/>
      <c r="B175" s="252"/>
      <c r="C175" s="143" t="s">
        <v>76</v>
      </c>
      <c r="D175" s="96">
        <v>4988</v>
      </c>
      <c r="E175" s="274">
        <f>3.1054</f>
        <v>3.1053999999999999</v>
      </c>
      <c r="F175" s="274">
        <f>1349.67355</f>
        <v>1349.67355</v>
      </c>
      <c r="G175" s="45">
        <f>D175-F175-F176</f>
        <v>2065.4459699999998</v>
      </c>
      <c r="H175" s="274">
        <f>1066.26887</f>
        <v>1066.2688700000001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78.06463</f>
        <v>78.064629999999994</v>
      </c>
      <c r="F176" s="154">
        <f>1572.88048</f>
        <v>1572.88048</v>
      </c>
      <c r="G176" s="215"/>
      <c r="H176" s="154">
        <f>1372.72845</f>
        <v>1372.7284500000001</v>
      </c>
      <c r="I176" s="1"/>
      <c r="J176" s="122"/>
    </row>
    <row r="177" spans="1:10" ht="15.6" customHeight="1" x14ac:dyDescent="0.25">
      <c r="A177" s="1"/>
      <c r="B177" s="252"/>
      <c r="C177" s="171" t="s">
        <v>77</v>
      </c>
      <c r="D177" s="100">
        <v>200</v>
      </c>
      <c r="E177" s="174">
        <f>0.005</f>
        <v>5.0000000000000001E-3</v>
      </c>
      <c r="F177" s="174">
        <f>71.57216</f>
        <v>71.572159999999997</v>
      </c>
      <c r="G177" s="174">
        <f>D177-F177</f>
        <v>128.42784</v>
      </c>
      <c r="H177" s="174">
        <f>49.87828</f>
        <v>49.878279999999997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977.09208000000001</v>
      </c>
      <c r="F178" s="183">
        <f>F179+F180+F181</f>
        <v>7829.0477699999992</v>
      </c>
      <c r="G178" s="183">
        <f>D178-F178</f>
        <v>-348.04776999999922</v>
      </c>
      <c r="H178" s="183">
        <f>H179+H180+H181</f>
        <v>6935.1653699999997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640.14962</f>
        <v>640.14962000000003</v>
      </c>
      <c r="F179" s="129">
        <f>4125.36993</f>
        <v>4125.3699299999998</v>
      </c>
      <c r="G179" s="129"/>
      <c r="H179" s="129">
        <f>3483.04552</f>
        <v>3483.0455200000001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255.88157</f>
        <v>255.88157000000001</v>
      </c>
      <c r="F180" s="129">
        <f>2348.38552</f>
        <v>2348.3855199999998</v>
      </c>
      <c r="G180" s="129"/>
      <c r="H180" s="129">
        <f>2213.88508</f>
        <v>2213.88508</v>
      </c>
      <c r="I180" s="188"/>
      <c r="J180" s="189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81.06089</f>
        <v>81.060890000000001</v>
      </c>
      <c r="F181" s="194">
        <f>1355.29232</f>
        <v>1355.29232</v>
      </c>
      <c r="G181" s="194"/>
      <c r="H181" s="194">
        <f>1238.23477</f>
        <v>1238.23477</v>
      </c>
      <c r="I181" s="188"/>
      <c r="J181" s="189"/>
    </row>
    <row r="182" spans="1:10" ht="14.1" customHeight="1" x14ac:dyDescent="0.2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1058.26711</v>
      </c>
      <c r="F184" s="196">
        <f>F175+F176+F177+F178+F182+F183</f>
        <v>10823.17396</v>
      </c>
      <c r="G184" s="196">
        <f>D184-F184</f>
        <v>1911.8260399999999</v>
      </c>
      <c r="H184" s="196">
        <f>H175+H176+H177+H178+H182+H183</f>
        <v>9424.04097</v>
      </c>
      <c r="I184" s="165"/>
      <c r="J184" s="162"/>
    </row>
    <row r="185" spans="1:10" ht="42" customHeight="1" x14ac:dyDescent="0.25">
      <c r="A185" s="1"/>
      <c r="B185" s="200"/>
      <c r="C185" s="225" t="s">
        <v>131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119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119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119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132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133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134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142</v>
      </c>
      <c r="F203" s="68" t="s">
        <v>143</v>
      </c>
      <c r="G203" s="68" t="s">
        <v>144</v>
      </c>
      <c r="H203" s="68" t="s">
        <v>145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13.32538</f>
        <v>13.325379999999999</v>
      </c>
      <c r="F204" s="124">
        <f>39024.67899</f>
        <v>39024.67899</v>
      </c>
      <c r="G204" s="124">
        <f>D204-F204</f>
        <v>4814.3210099999997</v>
      </c>
      <c r="H204" s="124">
        <f>32670.01748</f>
        <v>32670.017479999999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5.566</f>
        <v>5.5659999999999998</v>
      </c>
      <c r="F205" s="124">
        <f>54.76875</f>
        <v>54.768749999999997</v>
      </c>
      <c r="G205" s="124">
        <f>D205-F205</f>
        <v>45.231250000000003</v>
      </c>
      <c r="H205" s="124">
        <f>27.08287</f>
        <v>27.08287</v>
      </c>
      <c r="I205" s="246"/>
      <c r="J205" s="122"/>
    </row>
    <row r="206" spans="1:10" ht="15.75" customHeight="1" x14ac:dyDescent="0.2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88</v>
      </c>
      <c r="D207" s="190">
        <f>SUM(D204:D206)</f>
        <v>43981</v>
      </c>
      <c r="E207" s="190">
        <f>SUM(E204:E206)</f>
        <v>18.891379999999998</v>
      </c>
      <c r="F207" s="190">
        <f>SUM(F204:F206)</f>
        <v>39079.447740000003</v>
      </c>
      <c r="G207" s="190">
        <f>D207-F207</f>
        <v>4901.5522599999967</v>
      </c>
      <c r="H207" s="190">
        <f>SUM(H204:H206)</f>
        <v>32697.100349999997</v>
      </c>
      <c r="I207" s="246"/>
      <c r="J207" s="122"/>
    </row>
    <row r="208" spans="1:10" ht="17.100000000000001" customHeight="1" x14ac:dyDescent="0.2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119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21.75" customHeight="1" x14ac:dyDescent="0.35">
      <c r="A243" s="152"/>
      <c r="B243" s="1"/>
      <c r="C243" s="213" t="s">
        <v>137</v>
      </c>
      <c r="D243" s="172"/>
      <c r="E243" s="172"/>
      <c r="F243" s="172"/>
      <c r="G243" s="172"/>
      <c r="H243" s="1"/>
      <c r="I243" s="1"/>
      <c r="J243" s="1"/>
    </row>
    <row r="244" spans="1:10" ht="21.75" customHeight="1" x14ac:dyDescent="0.35">
      <c r="A244" s="152" t="s">
        <v>119</v>
      </c>
      <c r="B244" s="1"/>
      <c r="C244" s="213"/>
      <c r="D244" s="172"/>
      <c r="E244" s="172"/>
      <c r="F244" s="172"/>
      <c r="G244" s="172"/>
      <c r="H244" s="1"/>
      <c r="I244" s="1"/>
      <c r="J244" s="1"/>
    </row>
    <row r="245" spans="1:10" ht="12" customHeight="1" x14ac:dyDescent="0.25">
      <c r="A245" s="152"/>
      <c r="B245" s="140"/>
      <c r="C245" s="224"/>
      <c r="D245" s="235"/>
      <c r="E245" s="235"/>
      <c r="F245" s="235"/>
      <c r="G245" s="235"/>
      <c r="H245" s="156"/>
      <c r="I245" s="156"/>
      <c r="J245" s="164"/>
    </row>
    <row r="246" spans="1:10" ht="23.25" customHeight="1" x14ac:dyDescent="0.25">
      <c r="A246" s="1"/>
      <c r="B246" s="252"/>
      <c r="C246" s="18" t="s">
        <v>15</v>
      </c>
      <c r="D246" s="172"/>
      <c r="E246" s="172"/>
      <c r="F246" s="172"/>
      <c r="G246" s="1"/>
      <c r="H246" s="1"/>
      <c r="I246" s="1"/>
      <c r="J246" s="122"/>
    </row>
    <row r="247" spans="1:10" ht="15" customHeight="1" x14ac:dyDescent="0.25">
      <c r="A247" s="1"/>
      <c r="B247" s="252"/>
      <c r="C247" s="101"/>
      <c r="D247" s="172"/>
      <c r="E247" s="172"/>
      <c r="F247" s="172"/>
      <c r="G247" s="172"/>
      <c r="H247" s="1"/>
      <c r="I247" s="1"/>
      <c r="J247" s="122"/>
    </row>
    <row r="248" spans="1:10" ht="48.75" customHeight="1" x14ac:dyDescent="0.25">
      <c r="A248" s="1"/>
      <c r="B248" s="252"/>
      <c r="C248" s="68" t="s">
        <v>16</v>
      </c>
      <c r="D248" s="79" t="s">
        <v>2</v>
      </c>
      <c r="E248" s="68" t="s">
        <v>142</v>
      </c>
      <c r="F248" s="68" t="s">
        <v>143</v>
      </c>
      <c r="G248" s="68" t="s">
        <v>144</v>
      </c>
      <c r="H248" s="68" t="s">
        <v>145</v>
      </c>
      <c r="I248" s="1"/>
      <c r="J248" s="122"/>
    </row>
    <row r="249" spans="1:10" ht="15" customHeight="1" x14ac:dyDescent="0.25">
      <c r="A249" s="1"/>
      <c r="B249" s="252"/>
      <c r="C249" s="90" t="s">
        <v>8</v>
      </c>
      <c r="D249" s="124"/>
      <c r="E249" s="77">
        <f>79.94811</f>
        <v>79.94811</v>
      </c>
      <c r="F249" s="77">
        <f>2688.69683</f>
        <v>2688.6968299999999</v>
      </c>
      <c r="G249" s="77"/>
      <c r="H249" s="77">
        <f>1816.75524</f>
        <v>1816.75524</v>
      </c>
      <c r="I249" s="246"/>
      <c r="J249" s="122"/>
    </row>
    <row r="250" spans="1:10" ht="15" customHeight="1" x14ac:dyDescent="0.25">
      <c r="A250" s="1"/>
      <c r="B250" s="252"/>
      <c r="C250" s="90" t="s">
        <v>11</v>
      </c>
      <c r="D250" s="124"/>
      <c r="E250" s="77">
        <f>60.44846</f>
        <v>60.448459999999997</v>
      </c>
      <c r="F250" s="77">
        <f>4712.68901</f>
        <v>4712.6890100000001</v>
      </c>
      <c r="G250" s="77"/>
      <c r="H250" s="77">
        <f>4155.22555</f>
        <v>4155.2255500000001</v>
      </c>
      <c r="I250" s="246"/>
      <c r="J250" s="122"/>
    </row>
    <row r="251" spans="1:10" ht="15.75" customHeight="1" x14ac:dyDescent="0.25">
      <c r="A251" s="1"/>
      <c r="B251" s="252"/>
      <c r="C251" s="146" t="s">
        <v>68</v>
      </c>
      <c r="D251" s="168"/>
      <c r="E251" s="124">
        <f>3.63874</f>
        <v>3.6387399999999999</v>
      </c>
      <c r="F251" s="124">
        <f>512.88827</f>
        <v>512.88827000000003</v>
      </c>
      <c r="G251" s="168"/>
      <c r="H251" s="124">
        <f>485.31114</f>
        <v>485.31114000000002</v>
      </c>
      <c r="I251" s="246"/>
      <c r="J251" s="122"/>
    </row>
    <row r="252" spans="1:10" ht="16.5" customHeight="1" x14ac:dyDescent="0.25">
      <c r="A252" s="1"/>
      <c r="B252" s="252"/>
      <c r="C252" s="179" t="s">
        <v>88</v>
      </c>
      <c r="D252" s="190">
        <v>10454</v>
      </c>
      <c r="E252" s="190">
        <f>SUM(E249:E251)</f>
        <v>144.03531000000001</v>
      </c>
      <c r="F252" s="190">
        <f>SUM(F249:F251)</f>
        <v>7914.2741100000003</v>
      </c>
      <c r="G252" s="190">
        <f>D252-F252</f>
        <v>2539.7258899999997</v>
      </c>
      <c r="H252" s="190">
        <f>SUM(H249:H251)</f>
        <v>6457.2919299999994</v>
      </c>
      <c r="I252" s="246"/>
      <c r="J252" s="122"/>
    </row>
    <row r="253" spans="1:10" ht="17.100000000000001" customHeight="1" x14ac:dyDescent="0.25">
      <c r="A253" s="1"/>
      <c r="B253" s="166"/>
      <c r="C253" s="201"/>
      <c r="D253" s="109"/>
      <c r="E253" s="109"/>
      <c r="F253" s="212"/>
      <c r="G253" s="212"/>
      <c r="H253" s="212"/>
      <c r="I253" s="212"/>
      <c r="J253" s="214"/>
    </row>
    <row r="254" spans="1:10" ht="0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00000000000001" customHeight="1" x14ac:dyDescent="0.25">
      <c r="A287" s="1" t="s">
        <v>119</v>
      </c>
      <c r="B287" s="1"/>
      <c r="C287" s="1"/>
      <c r="D287" s="1"/>
      <c r="E287" s="1"/>
      <c r="F287" s="1"/>
      <c r="G287" s="1"/>
      <c r="H287" s="1"/>
      <c r="I287" s="1"/>
      <c r="J287" s="216"/>
    </row>
    <row r="288" spans="1:10" ht="21.75" customHeight="1" x14ac:dyDescent="0.35">
      <c r="A288" s="152"/>
      <c r="B288" s="1"/>
      <c r="C288" s="213" t="s">
        <v>138</v>
      </c>
      <c r="D288" s="172"/>
      <c r="E288" s="172"/>
      <c r="F288" s="172"/>
      <c r="G288" s="172"/>
      <c r="H288" s="1"/>
      <c r="I288" s="1"/>
      <c r="J288" s="1"/>
    </row>
    <row r="289" spans="1:10" ht="21.75" customHeight="1" x14ac:dyDescent="0.35">
      <c r="A289" s="152" t="s">
        <v>119</v>
      </c>
      <c r="B289" s="1"/>
      <c r="C289" s="213"/>
      <c r="D289" s="172"/>
      <c r="E289" s="172"/>
      <c r="F289" s="172"/>
      <c r="G289" s="172"/>
      <c r="H289" s="1"/>
      <c r="I289" s="1"/>
      <c r="J289" s="1"/>
    </row>
    <row r="290" spans="1:10" ht="12" customHeight="1" x14ac:dyDescent="0.25">
      <c r="A290" s="152"/>
      <c r="B290" s="140"/>
      <c r="C290" s="224"/>
      <c r="D290" s="235"/>
      <c r="E290" s="235"/>
      <c r="F290" s="235"/>
      <c r="G290" s="235"/>
      <c r="H290" s="156"/>
      <c r="I290" s="156"/>
      <c r="J290" s="164"/>
    </row>
    <row r="291" spans="1:10" ht="23.25" customHeight="1" x14ac:dyDescent="0.25">
      <c r="A291" s="1"/>
      <c r="B291" s="252"/>
      <c r="C291" s="18" t="s">
        <v>15</v>
      </c>
      <c r="D291" s="172"/>
      <c r="E291" s="172"/>
      <c r="F291" s="172"/>
      <c r="G291" s="1"/>
      <c r="H291" s="1"/>
      <c r="I291" s="1"/>
      <c r="J291" s="122"/>
    </row>
    <row r="292" spans="1:10" ht="15" customHeight="1" x14ac:dyDescent="0.25">
      <c r="A292" s="1"/>
      <c r="B292" s="252"/>
      <c r="C292" s="101"/>
      <c r="D292" s="172"/>
      <c r="E292" s="172"/>
      <c r="F292" s="172"/>
      <c r="G292" s="172"/>
      <c r="H292" s="1"/>
      <c r="I292" s="1"/>
      <c r="J292" s="122"/>
    </row>
    <row r="293" spans="1:10" ht="48.75" customHeight="1" x14ac:dyDescent="0.25">
      <c r="A293" s="1"/>
      <c r="B293" s="252"/>
      <c r="C293" s="68" t="s">
        <v>16</v>
      </c>
      <c r="D293" s="79" t="s">
        <v>2</v>
      </c>
      <c r="E293" s="68" t="s">
        <v>142</v>
      </c>
      <c r="F293" s="68" t="s">
        <v>143</v>
      </c>
      <c r="G293" s="68" t="s">
        <v>144</v>
      </c>
      <c r="H293" s="68" t="s">
        <v>145</v>
      </c>
      <c r="I293" s="1"/>
      <c r="J293" s="122"/>
    </row>
    <row r="294" spans="1:10" ht="15" customHeight="1" x14ac:dyDescent="0.25">
      <c r="A294" s="1"/>
      <c r="B294" s="252"/>
      <c r="C294" s="90" t="s">
        <v>8</v>
      </c>
      <c r="D294" s="124"/>
      <c r="E294" s="77">
        <f>226.95979</f>
        <v>226.95979</v>
      </c>
      <c r="F294" s="77">
        <f>4199.26407</f>
        <v>4199.2640700000002</v>
      </c>
      <c r="G294" s="77"/>
      <c r="H294" s="77">
        <f>2424.75197</f>
        <v>2424.7519699999998</v>
      </c>
      <c r="I294" s="246"/>
      <c r="J294" s="122"/>
    </row>
    <row r="295" spans="1:10" ht="15" customHeight="1" x14ac:dyDescent="0.25">
      <c r="A295" s="1"/>
      <c r="B295" s="252"/>
      <c r="C295" s="90" t="s">
        <v>11</v>
      </c>
      <c r="D295" s="124"/>
      <c r="E295" s="77">
        <f>73.12542</f>
        <v>73.125420000000005</v>
      </c>
      <c r="F295" s="77">
        <f>2764.12588</f>
        <v>2764.1258800000001</v>
      </c>
      <c r="G295" s="77"/>
      <c r="H295" s="77">
        <f>2191.37064</f>
        <v>2191.3706400000001</v>
      </c>
      <c r="I295" s="246"/>
      <c r="J295" s="122"/>
    </row>
    <row r="296" spans="1:10" ht="15.75" customHeight="1" x14ac:dyDescent="0.25">
      <c r="A296" s="1"/>
      <c r="B296" s="252"/>
      <c r="C296" s="146" t="s">
        <v>68</v>
      </c>
      <c r="D296" s="168"/>
      <c r="E296" s="124">
        <f>1.47524</f>
        <v>1.4752400000000001</v>
      </c>
      <c r="F296" s="124">
        <f>415.0875</f>
        <v>415.08749999999998</v>
      </c>
      <c r="G296" s="168"/>
      <c r="H296" s="124">
        <f>448.55328</f>
        <v>448.55327999999997</v>
      </c>
      <c r="I296" s="246"/>
      <c r="J296" s="122"/>
    </row>
    <row r="297" spans="1:10" ht="16.5" customHeight="1" x14ac:dyDescent="0.25">
      <c r="A297" s="1"/>
      <c r="B297" s="252"/>
      <c r="C297" s="179" t="s">
        <v>88</v>
      </c>
      <c r="D297" s="190">
        <v>8076</v>
      </c>
      <c r="E297" s="190">
        <f>SUM(E294:E296)</f>
        <v>301.56045</v>
      </c>
      <c r="F297" s="190">
        <f>SUM(F294:F296)</f>
        <v>7378.4774500000003</v>
      </c>
      <c r="G297" s="190">
        <f>D297-F297</f>
        <v>697.52254999999968</v>
      </c>
      <c r="H297" s="190">
        <f>SUM(H294:H296)</f>
        <v>5064.6758900000004</v>
      </c>
      <c r="I297" s="246"/>
      <c r="J297" s="122"/>
    </row>
    <row r="298" spans="1:10" ht="17.100000000000001" customHeight="1" x14ac:dyDescent="0.25">
      <c r="A298" s="1"/>
      <c r="B298" s="166"/>
      <c r="C298" s="201"/>
      <c r="D298" s="109"/>
      <c r="E298" s="109"/>
      <c r="F298" s="212"/>
      <c r="G298" s="212"/>
      <c r="H298" s="212"/>
      <c r="I298" s="212"/>
      <c r="J298" s="214"/>
    </row>
    <row r="299" spans="1:10" ht="0" hidden="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0" hidden="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7.100000000000001" customHeight="1" x14ac:dyDescent="0.25">
      <c r="A332" s="1" t="s">
        <v>119</v>
      </c>
      <c r="B332" s="1"/>
      <c r="C332" s="1"/>
      <c r="D332" s="1"/>
      <c r="E332" s="1"/>
      <c r="F332" s="1"/>
      <c r="G332" s="1"/>
      <c r="H332" s="1"/>
      <c r="I332" s="1"/>
      <c r="J332" s="216"/>
    </row>
    <row r="333" spans="1:10" ht="30" customHeight="1" x14ac:dyDescent="0.25">
      <c r="A333" s="216"/>
      <c r="B333" s="216"/>
      <c r="C333" s="217" t="s">
        <v>90</v>
      </c>
      <c r="D333" s="216"/>
      <c r="E333" s="216"/>
      <c r="F333" s="216"/>
      <c r="G333" s="216"/>
      <c r="H333" s="216"/>
      <c r="I333" s="216"/>
      <c r="J333" s="222"/>
    </row>
    <row r="334" spans="1:10" ht="30" customHeight="1" x14ac:dyDescent="0.25">
      <c r="A334" s="216" t="s">
        <v>119</v>
      </c>
      <c r="B334" s="216"/>
      <c r="C334" s="217"/>
      <c r="D334" s="216"/>
      <c r="E334" s="216"/>
      <c r="F334" s="216"/>
      <c r="G334" s="216"/>
      <c r="H334" s="216"/>
      <c r="I334" s="216"/>
      <c r="J334" s="222"/>
    </row>
    <row r="335" spans="1:10" ht="14.1" customHeight="1" x14ac:dyDescent="0.25">
      <c r="A335" s="1"/>
      <c r="B335" s="138"/>
      <c r="C335" s="176"/>
      <c r="D335" s="176"/>
      <c r="E335" s="176"/>
      <c r="F335" s="176"/>
      <c r="G335" s="176"/>
      <c r="H335" s="176"/>
      <c r="I335" s="176"/>
      <c r="J335" s="164"/>
    </row>
    <row r="336" spans="1:10" ht="14.1" customHeight="1" x14ac:dyDescent="0.25">
      <c r="A336" s="159"/>
      <c r="B336" s="54"/>
      <c r="C336" s="151" t="s">
        <v>1</v>
      </c>
      <c r="D336" s="187"/>
      <c r="E336" s="152"/>
      <c r="F336" s="152"/>
      <c r="G336" s="159"/>
      <c r="H336" s="159"/>
      <c r="I336" s="159"/>
      <c r="J336" s="122"/>
    </row>
    <row r="337" spans="1:10" ht="14.1" customHeight="1" x14ac:dyDescent="0.25">
      <c r="A337" s="1"/>
      <c r="B337" s="252"/>
      <c r="C337" s="257" t="s">
        <v>85</v>
      </c>
      <c r="D337" s="268">
        <v>3299</v>
      </c>
      <c r="E337" s="152"/>
      <c r="F337" s="223"/>
      <c r="G337" s="1"/>
      <c r="H337" s="1"/>
      <c r="I337" s="1"/>
      <c r="J337" s="122"/>
    </row>
    <row r="338" spans="1:10" ht="14.1" customHeight="1" x14ac:dyDescent="0.25">
      <c r="A338" s="1"/>
      <c r="B338" s="252"/>
      <c r="C338" s="246" t="s">
        <v>91</v>
      </c>
      <c r="D338" s="46">
        <v>9882</v>
      </c>
      <c r="E338" s="152"/>
      <c r="F338" s="223"/>
      <c r="G338" s="1"/>
      <c r="H338" s="1"/>
      <c r="I338" s="1"/>
      <c r="J338" s="122"/>
    </row>
    <row r="339" spans="1:10" ht="14.1" customHeight="1" x14ac:dyDescent="0.25">
      <c r="A339" s="1"/>
      <c r="B339" s="252"/>
      <c r="C339" s="246" t="s">
        <v>92</v>
      </c>
      <c r="D339" s="46">
        <v>8089</v>
      </c>
      <c r="E339" s="152"/>
      <c r="F339" s="223"/>
      <c r="G339" s="1"/>
      <c r="H339" s="1"/>
      <c r="I339" s="1"/>
      <c r="J339" s="122"/>
    </row>
    <row r="340" spans="1:10" ht="13.5" customHeight="1" x14ac:dyDescent="0.25">
      <c r="A340" s="1"/>
      <c r="B340" s="252"/>
      <c r="C340" s="246" t="s">
        <v>75</v>
      </c>
      <c r="D340" s="46">
        <v>382</v>
      </c>
      <c r="E340" s="152"/>
      <c r="F340" s="223"/>
      <c r="G340" s="1"/>
      <c r="H340" s="1"/>
      <c r="I340" s="1"/>
      <c r="J340" s="122"/>
    </row>
    <row r="341" spans="1:10" ht="14.25" customHeight="1" x14ac:dyDescent="0.25">
      <c r="A341" s="1"/>
      <c r="B341" s="252"/>
      <c r="C341" s="57" t="s">
        <v>50</v>
      </c>
      <c r="D341" s="35">
        <f>SUM(D337:D340)</f>
        <v>21652</v>
      </c>
      <c r="E341" s="152"/>
      <c r="F341" s="152"/>
      <c r="G341" s="1"/>
      <c r="H341" s="1"/>
      <c r="I341" s="1"/>
      <c r="J341" s="122"/>
    </row>
    <row r="342" spans="1:10" ht="14.1" customHeight="1" x14ac:dyDescent="0.25">
      <c r="A342" s="1"/>
      <c r="B342" s="252"/>
      <c r="C342" s="226" t="s">
        <v>93</v>
      </c>
      <c r="D342" s="227"/>
      <c r="E342" s="181"/>
      <c r="F342" s="181"/>
      <c r="G342" s="1"/>
      <c r="H342" s="1"/>
      <c r="I342" s="1"/>
      <c r="J342" s="122"/>
    </row>
    <row r="343" spans="1:10" ht="15" customHeight="1" x14ac:dyDescent="0.25">
      <c r="A343" s="1"/>
      <c r="B343" s="252"/>
      <c r="C343" s="101" t="s">
        <v>94</v>
      </c>
      <c r="D343" s="228"/>
      <c r="E343" s="1"/>
      <c r="F343" s="1"/>
      <c r="G343" s="1"/>
      <c r="H343" s="1"/>
      <c r="I343" s="1"/>
      <c r="J343" s="122"/>
    </row>
    <row r="344" spans="1:10" ht="14.25" customHeight="1" x14ac:dyDescent="0.25">
      <c r="A344" s="1"/>
      <c r="B344" s="252"/>
      <c r="C344" s="101" t="s">
        <v>95</v>
      </c>
      <c r="D344" s="1"/>
      <c r="E344" s="1"/>
      <c r="F344" s="1"/>
      <c r="G344" s="1"/>
      <c r="H344" s="1"/>
      <c r="I344" s="1"/>
      <c r="J344" s="122"/>
    </row>
    <row r="345" spans="1:10" ht="23.25" customHeight="1" x14ac:dyDescent="0.25">
      <c r="A345" s="1"/>
      <c r="B345" s="229"/>
      <c r="C345" s="232" t="s">
        <v>15</v>
      </c>
      <c r="D345" s="232"/>
      <c r="E345" s="232"/>
      <c r="F345" s="232"/>
      <c r="G345" s="232"/>
      <c r="H345" s="232"/>
      <c r="I345" s="232"/>
      <c r="J345" s="236"/>
    </row>
    <row r="346" spans="1:10" ht="14.1" customHeight="1" x14ac:dyDescent="0.25">
      <c r="A346" s="1"/>
      <c r="B346" s="238"/>
      <c r="C346" s="240"/>
      <c r="D346" s="240"/>
      <c r="E346" s="240"/>
      <c r="F346" s="240"/>
      <c r="G346" s="240"/>
      <c r="H346" s="240"/>
      <c r="I346" s="240"/>
      <c r="J346" s="122"/>
    </row>
    <row r="347" spans="1:10" ht="54" customHeight="1" x14ac:dyDescent="0.25">
      <c r="A347" s="1"/>
      <c r="B347" s="252"/>
      <c r="C347" s="68" t="s">
        <v>16</v>
      </c>
      <c r="D347" s="241" t="s">
        <v>2</v>
      </c>
      <c r="E347" s="68" t="s">
        <v>142</v>
      </c>
      <c r="F347" s="68" t="s">
        <v>143</v>
      </c>
      <c r="G347" s="68" t="s">
        <v>144</v>
      </c>
      <c r="H347" s="68" t="s">
        <v>145</v>
      </c>
      <c r="I347" s="1"/>
      <c r="J347" s="118"/>
    </row>
    <row r="348" spans="1:10" ht="14.1" customHeight="1" x14ac:dyDescent="0.25">
      <c r="A348" s="70"/>
      <c r="B348" s="81"/>
      <c r="C348" s="90" t="s">
        <v>96</v>
      </c>
      <c r="D348" s="124">
        <v>800</v>
      </c>
      <c r="E348" s="124">
        <f>20.6712</f>
        <v>20.671199999999999</v>
      </c>
      <c r="F348" s="124">
        <f>421.58388</f>
        <v>421.58388000000002</v>
      </c>
      <c r="G348" s="124">
        <f>D348-F348</f>
        <v>378.41611999999998</v>
      </c>
      <c r="H348" s="124">
        <f>242.2704</f>
        <v>242.2704</v>
      </c>
      <c r="I348" s="70"/>
      <c r="J348" s="242"/>
    </row>
    <row r="349" spans="1:10" ht="14.1" customHeight="1" x14ac:dyDescent="0.25">
      <c r="A349" s="1"/>
      <c r="B349" s="252"/>
      <c r="C349" s="90" t="s">
        <v>97</v>
      </c>
      <c r="D349" s="244">
        <v>2494</v>
      </c>
      <c r="E349" s="124">
        <f>164.1351</f>
        <v>164.13509999999999</v>
      </c>
      <c r="F349" s="124">
        <f>2287.48873</f>
        <v>2287.48873</v>
      </c>
      <c r="G349" s="124">
        <f>D349-F349</f>
        <v>206.51126999999997</v>
      </c>
      <c r="H349" s="124">
        <f>1242.20587</f>
        <v>1242.20587</v>
      </c>
      <c r="I349" s="181"/>
      <c r="J349" s="118"/>
    </row>
    <row r="350" spans="1:10" ht="16.5" customHeight="1" x14ac:dyDescent="0.25">
      <c r="A350" s="70"/>
      <c r="B350" s="81"/>
      <c r="C350" s="146" t="s">
        <v>82</v>
      </c>
      <c r="D350" s="244">
        <v>5</v>
      </c>
      <c r="E350" s="168">
        <f>0</f>
        <v>0</v>
      </c>
      <c r="F350" s="168">
        <f>2.73874</f>
        <v>2.73874</v>
      </c>
      <c r="G350" s="124">
        <f>D350-F350</f>
        <v>2.26126</v>
      </c>
      <c r="H350" s="168">
        <f>0.9169</f>
        <v>0.91690000000000005</v>
      </c>
      <c r="I350" s="70"/>
      <c r="J350" s="247"/>
    </row>
    <row r="351" spans="1:10" ht="18.75" customHeight="1" x14ac:dyDescent="0.25">
      <c r="A351" s="70"/>
      <c r="B351" s="248"/>
      <c r="C351" s="146" t="s">
        <v>98</v>
      </c>
      <c r="D351" s="220"/>
      <c r="E351" s="168">
        <f>0</f>
        <v>0</v>
      </c>
      <c r="F351" s="168">
        <f>1.6866</f>
        <v>1.6866000000000001</v>
      </c>
      <c r="G351" s="124"/>
      <c r="H351" s="168">
        <f>6.74854</f>
        <v>6.7485400000000002</v>
      </c>
      <c r="I351" s="282"/>
      <c r="J351" s="122"/>
    </row>
    <row r="352" spans="1:10" ht="14.1" customHeight="1" x14ac:dyDescent="0.25">
      <c r="A352" s="1"/>
      <c r="B352" s="252"/>
      <c r="C352" s="179" t="s">
        <v>88</v>
      </c>
      <c r="D352" s="6">
        <f>D337</f>
        <v>3299</v>
      </c>
      <c r="E352" s="190">
        <f>SUM(E348:E351)</f>
        <v>184.80629999999999</v>
      </c>
      <c r="F352" s="190">
        <f>SUM(F348:F351)</f>
        <v>2713.4979499999999</v>
      </c>
      <c r="G352" s="190">
        <f>D352-F352</f>
        <v>585.50205000000005</v>
      </c>
      <c r="H352" s="190">
        <f>H348+H349+H350+H351</f>
        <v>1492.1417100000001</v>
      </c>
      <c r="I352" s="1"/>
      <c r="J352" s="122"/>
    </row>
    <row r="353" spans="1:10" ht="14.1" customHeight="1" x14ac:dyDescent="0.25">
      <c r="A353" s="1"/>
      <c r="B353" s="252"/>
      <c r="C353" s="21"/>
      <c r="D353" s="34"/>
      <c r="E353" s="34"/>
      <c r="F353" s="34"/>
      <c r="G353" s="34"/>
      <c r="H353" s="34"/>
      <c r="I353" s="1"/>
      <c r="J353" s="122"/>
    </row>
    <row r="354" spans="1:10" ht="14.1" customHeight="1" x14ac:dyDescent="0.25">
      <c r="A354" s="1"/>
      <c r="B354" s="166"/>
      <c r="C354" s="109"/>
      <c r="D354" s="109"/>
      <c r="E354" s="109"/>
      <c r="F354" s="109"/>
      <c r="G354" s="108"/>
      <c r="H354" s="109"/>
      <c r="I354" s="109"/>
      <c r="J354" s="120"/>
    </row>
    <row r="355" spans="1:10" ht="14.1" customHeight="1" x14ac:dyDescent="0.25">
      <c r="A355" s="1"/>
      <c r="C355" s="152" t="s">
        <v>119</v>
      </c>
    </row>
    <row r="356" spans="1:10" ht="14.1" customHeight="1" x14ac:dyDescent="0.25">
      <c r="A356" s="1" t="s">
        <v>119</v>
      </c>
    </row>
    <row r="357" spans="1:10" ht="14.1" customHeight="1" x14ac:dyDescent="0.25">
      <c r="A357" s="1" t="s">
        <v>119</v>
      </c>
    </row>
    <row r="358" spans="1:10" ht="14.1" customHeight="1" x14ac:dyDescent="0.25">
      <c r="A358" s="1"/>
      <c r="C358" s="152" t="s">
        <v>119</v>
      </c>
    </row>
    <row r="359" spans="1:10" ht="36" customHeight="1" x14ac:dyDescent="0.25">
      <c r="A359" s="1"/>
      <c r="C359" s="152" t="s">
        <v>119</v>
      </c>
    </row>
    <row r="360" spans="1:10" ht="14.1" customHeight="1" x14ac:dyDescent="0.25">
      <c r="A360" s="1"/>
      <c r="C360" s="152" t="s">
        <v>119</v>
      </c>
    </row>
    <row r="361" spans="1:10" ht="14.1" customHeight="1" x14ac:dyDescent="0.25">
      <c r="A361" s="1"/>
      <c r="C361" s="152" t="s">
        <v>119</v>
      </c>
    </row>
    <row r="362" spans="1:10" ht="30" customHeight="1" x14ac:dyDescent="0.35">
      <c r="A362" s="216"/>
      <c r="B362" s="1"/>
      <c r="C362" s="213" t="s">
        <v>99</v>
      </c>
      <c r="D362" s="159"/>
      <c r="E362" s="1"/>
      <c r="F362" s="1"/>
      <c r="G362" s="1"/>
      <c r="H362" s="1"/>
      <c r="I362" s="1"/>
      <c r="J362" s="1"/>
    </row>
    <row r="363" spans="1:10" ht="17.100000000000001" customHeight="1" x14ac:dyDescent="0.25">
      <c r="B363" s="126"/>
      <c r="C363" s="237"/>
      <c r="D363" s="237"/>
      <c r="E363" s="237"/>
      <c r="F363" s="237"/>
      <c r="G363" s="237"/>
      <c r="H363" s="237"/>
      <c r="I363" s="237"/>
      <c r="J363" s="62"/>
    </row>
    <row r="364" spans="1:10" ht="6" customHeight="1" x14ac:dyDescent="0.25">
      <c r="B364" s="74"/>
      <c r="C364" s="152"/>
      <c r="D364" s="152"/>
      <c r="E364" s="152"/>
      <c r="F364" s="152"/>
      <c r="G364" s="152"/>
      <c r="H364" s="152"/>
      <c r="I364" s="152"/>
      <c r="J364" s="132"/>
    </row>
    <row r="365" spans="1:10" ht="18" customHeight="1" x14ac:dyDescent="0.25">
      <c r="B365" s="74"/>
      <c r="C365" s="151" t="s">
        <v>1</v>
      </c>
      <c r="D365" s="187"/>
      <c r="E365" s="151" t="s">
        <v>100</v>
      </c>
      <c r="F365" s="187"/>
      <c r="G365" s="151" t="s">
        <v>101</v>
      </c>
      <c r="H365" s="187"/>
      <c r="I365" s="152"/>
      <c r="J365" s="132"/>
    </row>
    <row r="366" spans="1:10" ht="14.25" customHeight="1" x14ac:dyDescent="0.25">
      <c r="B366" s="74"/>
      <c r="C366" s="257" t="s">
        <v>85</v>
      </c>
      <c r="D366" s="268">
        <v>27365</v>
      </c>
      <c r="E366" s="250" t="s">
        <v>4</v>
      </c>
      <c r="F366" s="105">
        <v>13865</v>
      </c>
      <c r="G366" s="246" t="s">
        <v>20</v>
      </c>
      <c r="H366" s="46">
        <v>6472</v>
      </c>
      <c r="I366" s="152"/>
      <c r="J366" s="132"/>
    </row>
    <row r="367" spans="1:10" ht="14.25" customHeight="1" x14ac:dyDescent="0.25">
      <c r="B367" s="74"/>
      <c r="C367" s="246" t="s">
        <v>92</v>
      </c>
      <c r="D367" s="46">
        <v>19433</v>
      </c>
      <c r="E367" s="181" t="s">
        <v>97</v>
      </c>
      <c r="F367" s="49">
        <v>8000</v>
      </c>
      <c r="G367" s="246" t="s">
        <v>21</v>
      </c>
      <c r="H367" s="46">
        <v>1684</v>
      </c>
      <c r="I367" s="152"/>
      <c r="J367" s="132"/>
    </row>
    <row r="368" spans="1:10" ht="14.25" customHeight="1" x14ac:dyDescent="0.25">
      <c r="B368" s="74"/>
      <c r="C368" s="246" t="s">
        <v>91</v>
      </c>
      <c r="D368" s="46">
        <v>6186</v>
      </c>
      <c r="E368" s="181" t="s">
        <v>60</v>
      </c>
      <c r="F368" s="49">
        <v>5500</v>
      </c>
      <c r="G368" s="246" t="s">
        <v>102</v>
      </c>
      <c r="H368" s="46">
        <v>4296</v>
      </c>
      <c r="I368" s="152"/>
      <c r="J368" s="132"/>
    </row>
    <row r="369" spans="1:10" ht="14.1" customHeight="1" x14ac:dyDescent="0.25">
      <c r="B369" s="74"/>
      <c r="C369" s="246"/>
      <c r="D369" s="46"/>
      <c r="E369" s="133"/>
      <c r="F369" s="147"/>
      <c r="G369" s="246" t="s">
        <v>103</v>
      </c>
      <c r="H369" s="46">
        <v>1313</v>
      </c>
      <c r="I369" s="152"/>
      <c r="J369" s="132"/>
    </row>
    <row r="370" spans="1:10" ht="14.1" customHeight="1" x14ac:dyDescent="0.25">
      <c r="B370" s="74"/>
      <c r="C370" s="57" t="s">
        <v>50</v>
      </c>
      <c r="D370" s="35">
        <v>53374</v>
      </c>
      <c r="E370" s="175" t="s">
        <v>104</v>
      </c>
      <c r="F370" s="35">
        <f>F366+F367+F368</f>
        <v>27365</v>
      </c>
      <c r="G370" s="57" t="s">
        <v>4</v>
      </c>
      <c r="H370" s="35">
        <f>SUM(H366:H369)</f>
        <v>13765</v>
      </c>
      <c r="I370" s="152"/>
      <c r="J370" s="132"/>
    </row>
    <row r="371" spans="1:10" ht="13.35" customHeight="1" x14ac:dyDescent="0.25">
      <c r="B371" s="74"/>
      <c r="C371" s="101" t="s">
        <v>120</v>
      </c>
      <c r="D371" s="181"/>
      <c r="E371" s="181"/>
      <c r="F371" s="181"/>
      <c r="G371" s="1"/>
      <c r="H371" s="181"/>
      <c r="I371" s="181"/>
      <c r="J371" s="242"/>
    </row>
    <row r="372" spans="1:10" ht="13.35" customHeight="1" x14ac:dyDescent="0.25">
      <c r="B372" s="74"/>
      <c r="C372" s="101" t="s">
        <v>105</v>
      </c>
      <c r="D372" s="1"/>
      <c r="E372" s="1"/>
      <c r="F372" s="1"/>
      <c r="G372" s="1"/>
      <c r="H372" s="1"/>
      <c r="I372" s="1"/>
      <c r="J372" s="122"/>
    </row>
    <row r="373" spans="1:10" ht="9.75" customHeight="1" x14ac:dyDescent="0.25">
      <c r="B373" s="74"/>
      <c r="C373" s="101"/>
      <c r="D373" s="1"/>
      <c r="E373" s="1"/>
      <c r="F373" s="1"/>
      <c r="G373" s="1"/>
      <c r="H373" s="1"/>
      <c r="I373" s="1"/>
      <c r="J373" s="122"/>
    </row>
    <row r="374" spans="1:10" ht="18" customHeight="1" x14ac:dyDescent="0.25">
      <c r="B374" s="74"/>
      <c r="C374" s="152"/>
      <c r="D374" s="152"/>
      <c r="E374" s="152"/>
      <c r="F374" s="152"/>
      <c r="G374" s="152"/>
      <c r="H374" s="152"/>
      <c r="I374" s="152"/>
      <c r="J374" s="132"/>
    </row>
    <row r="375" spans="1:10" ht="29.25" customHeight="1" x14ac:dyDescent="0.25">
      <c r="B375" s="229"/>
      <c r="C375" s="232" t="s">
        <v>15</v>
      </c>
      <c r="D375" s="232"/>
      <c r="E375" s="232"/>
      <c r="F375" s="232"/>
      <c r="G375" s="232"/>
      <c r="H375" s="232"/>
      <c r="I375" s="232"/>
      <c r="J375" s="236"/>
    </row>
    <row r="376" spans="1:10" ht="18.75" customHeight="1" x14ac:dyDescent="0.25">
      <c r="B376" s="200"/>
      <c r="C376" s="222"/>
      <c r="D376" s="222"/>
      <c r="E376" s="222"/>
      <c r="F376" s="222"/>
      <c r="G376" s="222"/>
      <c r="H376" s="222"/>
      <c r="I376" s="222"/>
      <c r="J376" s="13"/>
    </row>
    <row r="377" spans="1:10" ht="64.5" customHeight="1" x14ac:dyDescent="0.25">
      <c r="B377" s="74"/>
      <c r="C377" s="221" t="s">
        <v>16</v>
      </c>
      <c r="D377" s="230" t="s">
        <v>17</v>
      </c>
      <c r="E377" s="68" t="s">
        <v>106</v>
      </c>
      <c r="F377" s="221" t="s">
        <v>142</v>
      </c>
      <c r="G377" s="221" t="s">
        <v>143</v>
      </c>
      <c r="H377" s="221" t="s">
        <v>144</v>
      </c>
      <c r="I377" s="221" t="s">
        <v>145</v>
      </c>
      <c r="J377" s="132"/>
    </row>
    <row r="378" spans="1:10" ht="14.1" customHeight="1" x14ac:dyDescent="0.25">
      <c r="A378" s="216"/>
      <c r="B378" s="74"/>
      <c r="C378" s="245" t="s">
        <v>19</v>
      </c>
      <c r="D378" s="249">
        <f t="shared" ref="D378:I378" si="15">D382+D381+D380+D379</f>
        <v>13765</v>
      </c>
      <c r="E378" s="249">
        <f t="shared" si="15"/>
        <v>16102</v>
      </c>
      <c r="F378" s="251">
        <f t="shared" si="15"/>
        <v>1409.79981</v>
      </c>
      <c r="G378" s="251">
        <f t="shared" si="15"/>
        <v>9991.9140200000002</v>
      </c>
      <c r="H378" s="251">
        <f>H382+H381+H380+H379</f>
        <v>6110.0859799999998</v>
      </c>
      <c r="I378" s="251">
        <f t="shared" si="15"/>
        <v>4032.7138699999996</v>
      </c>
      <c r="J378" s="132"/>
    </row>
    <row r="379" spans="1:10" ht="14.1" customHeight="1" x14ac:dyDescent="0.25">
      <c r="A379" s="216"/>
      <c r="B379" s="74"/>
      <c r="C379" s="253" t="s">
        <v>107</v>
      </c>
      <c r="D379" s="254">
        <v>6472</v>
      </c>
      <c r="E379" s="254">
        <v>8177</v>
      </c>
      <c r="F379" s="255">
        <f>1086.93628</f>
        <v>1086.9362799999999</v>
      </c>
      <c r="G379" s="255">
        <f>4942.32257</f>
        <v>4942.3225700000003</v>
      </c>
      <c r="H379" s="255">
        <f t="shared" ref="H379:H383" si="16">E379-G379</f>
        <v>3234.6774299999997</v>
      </c>
      <c r="I379" s="255">
        <f>1651.11808</f>
        <v>1651.11808</v>
      </c>
      <c r="J379" s="132"/>
    </row>
    <row r="380" spans="1:10" ht="14.1" customHeight="1" x14ac:dyDescent="0.25">
      <c r="A380" s="216"/>
      <c r="B380" s="74"/>
      <c r="C380" s="258" t="s">
        <v>21</v>
      </c>
      <c r="D380" s="254">
        <v>1684</v>
      </c>
      <c r="E380" s="254">
        <v>2128</v>
      </c>
      <c r="F380" s="255">
        <f>147.015</f>
        <v>147.01499999999999</v>
      </c>
      <c r="G380" s="255">
        <f>1205.54055</f>
        <v>1205.5405499999999</v>
      </c>
      <c r="H380" s="255">
        <f t="shared" si="16"/>
        <v>922.45945000000006</v>
      </c>
      <c r="I380" s="255">
        <f>490.4118</f>
        <v>490.41180000000003</v>
      </c>
      <c r="J380" s="132"/>
    </row>
    <row r="381" spans="1:10" ht="14.1" customHeight="1" x14ac:dyDescent="0.25">
      <c r="A381" s="216"/>
      <c r="B381" s="74"/>
      <c r="C381" s="258" t="s">
        <v>103</v>
      </c>
      <c r="D381" s="254">
        <v>1313</v>
      </c>
      <c r="E381" s="254">
        <v>1357</v>
      </c>
      <c r="F381" s="255">
        <f>56.90733</f>
        <v>56.907330000000002</v>
      </c>
      <c r="G381" s="255">
        <f>1570.226</f>
        <v>1570.2260000000001</v>
      </c>
      <c r="H381" s="255">
        <f t="shared" si="16"/>
        <v>-213.22600000000011</v>
      </c>
      <c r="I381" s="255">
        <f>1162.38459</f>
        <v>1162.3845899999999</v>
      </c>
      <c r="J381" s="132"/>
    </row>
    <row r="382" spans="1:10" ht="14.1" customHeight="1" x14ac:dyDescent="0.25">
      <c r="A382" s="216"/>
      <c r="B382" s="74"/>
      <c r="C382" s="260" t="s">
        <v>108</v>
      </c>
      <c r="D382" s="261">
        <v>4296</v>
      </c>
      <c r="E382" s="261">
        <v>4440</v>
      </c>
      <c r="F382" s="255">
        <f>118.9412</f>
        <v>118.94119999999999</v>
      </c>
      <c r="G382" s="255">
        <f>2273.8249</f>
        <v>2273.8249000000001</v>
      </c>
      <c r="H382" s="255">
        <f t="shared" si="16"/>
        <v>2166.1750999999999</v>
      </c>
      <c r="I382" s="255">
        <f>728.7994</f>
        <v>728.79939999999999</v>
      </c>
      <c r="J382" s="132"/>
    </row>
    <row r="383" spans="1:10" ht="14.1" customHeight="1" x14ac:dyDescent="0.25">
      <c r="A383" s="216"/>
      <c r="B383" s="74"/>
      <c r="C383" s="263" t="s">
        <v>60</v>
      </c>
      <c r="D383" s="264">
        <v>5500</v>
      </c>
      <c r="E383" s="264">
        <v>5500</v>
      </c>
      <c r="F383" s="266">
        <f>3.991</f>
        <v>3.9910000000000001</v>
      </c>
      <c r="G383" s="266">
        <f>5102.24628</f>
        <v>5102.2462800000003</v>
      </c>
      <c r="H383" s="266">
        <f t="shared" si="16"/>
        <v>397.7537199999997</v>
      </c>
      <c r="I383" s="266">
        <f>4538.93268</f>
        <v>4538.9326799999999</v>
      </c>
      <c r="J383" s="132"/>
    </row>
    <row r="384" spans="1:10" ht="14.1" customHeight="1" x14ac:dyDescent="0.25">
      <c r="A384" s="216"/>
      <c r="B384" s="74"/>
      <c r="C384" s="245" t="s">
        <v>22</v>
      </c>
      <c r="D384" s="249">
        <v>8000</v>
      </c>
      <c r="E384" s="249">
        <v>8000</v>
      </c>
      <c r="F384" s="267">
        <f>F386+F385</f>
        <v>157.65978999999999</v>
      </c>
      <c r="G384" s="267">
        <f>G386+G385</f>
        <v>2923.8383199999998</v>
      </c>
      <c r="H384" s="267">
        <f>E384-G384</f>
        <v>5076.1616800000002</v>
      </c>
      <c r="I384" s="267">
        <f>I386+I385</f>
        <v>2843.5073000000002</v>
      </c>
      <c r="J384" s="132"/>
    </row>
    <row r="385" spans="1:10" ht="14.1" customHeight="1" x14ac:dyDescent="0.25">
      <c r="A385" s="216"/>
      <c r="B385" s="74"/>
      <c r="C385" s="258" t="s">
        <v>54</v>
      </c>
      <c r="D385" s="269"/>
      <c r="E385" s="254"/>
      <c r="F385" s="255">
        <f>0</f>
        <v>0</v>
      </c>
      <c r="G385" s="255">
        <f>885.0987</f>
        <v>885.09870000000001</v>
      </c>
      <c r="H385" s="255"/>
      <c r="I385" s="255">
        <f>1104.06518</f>
        <v>1104.0651800000001</v>
      </c>
      <c r="J385" s="132"/>
    </row>
    <row r="386" spans="1:10" ht="14.1" customHeight="1" x14ac:dyDescent="0.25">
      <c r="A386" s="216"/>
      <c r="B386" s="74"/>
      <c r="C386" s="271" t="s">
        <v>109</v>
      </c>
      <c r="D386" s="272"/>
      <c r="E386" s="275"/>
      <c r="F386" s="276">
        <f>157.65979</f>
        <v>157.65978999999999</v>
      </c>
      <c r="G386" s="276">
        <f>2038.73962</f>
        <v>2038.7396200000001</v>
      </c>
      <c r="H386" s="276"/>
      <c r="I386" s="276">
        <f>1739.44212</f>
        <v>1739.4421199999999</v>
      </c>
      <c r="J386" s="132"/>
    </row>
    <row r="387" spans="1:10" ht="14.1" customHeight="1" x14ac:dyDescent="0.25">
      <c r="A387" s="216"/>
      <c r="B387" s="74"/>
      <c r="C387" s="263" t="s">
        <v>34</v>
      </c>
      <c r="D387" s="264">
        <v>10</v>
      </c>
      <c r="E387" s="264">
        <v>10</v>
      </c>
      <c r="F387" s="266">
        <f>0</f>
        <v>0</v>
      </c>
      <c r="G387" s="266">
        <f>0.0735</f>
        <v>7.3499999999999996E-2</v>
      </c>
      <c r="H387" s="266">
        <f>E387-G387</f>
        <v>9.9265000000000008</v>
      </c>
      <c r="I387" s="266">
        <f>0.1593</f>
        <v>0.1593</v>
      </c>
      <c r="J387" s="132"/>
    </row>
    <row r="388" spans="1:10" ht="14.1" customHeight="1" x14ac:dyDescent="0.25">
      <c r="A388" s="216"/>
      <c r="B388" s="74"/>
      <c r="C388" s="277" t="s">
        <v>110</v>
      </c>
      <c r="D388" s="280"/>
      <c r="E388" s="281"/>
      <c r="F388" s="266">
        <f>4.331</f>
        <v>4.3310000000000004</v>
      </c>
      <c r="G388" s="266">
        <f>83.92038</f>
        <v>83.920379999999994</v>
      </c>
      <c r="H388" s="266">
        <f>E388-G388</f>
        <v>-83.920379999999994</v>
      </c>
      <c r="I388" s="266">
        <f>230.76233</f>
        <v>230.76232999999999</v>
      </c>
      <c r="J388" s="132"/>
    </row>
    <row r="389" spans="1:10" ht="19.5" customHeight="1" x14ac:dyDescent="0.25">
      <c r="A389" s="216"/>
      <c r="B389" s="74"/>
      <c r="C389" s="283" t="s">
        <v>41</v>
      </c>
      <c r="D389" s="284">
        <f>D378+D383+D384+D387+D388</f>
        <v>27275</v>
      </c>
      <c r="E389" s="284">
        <f>E378+E383+E384+E387+E388</f>
        <v>29612</v>
      </c>
      <c r="F389" s="285">
        <f t="shared" ref="F389:I389" si="17">F378+F383+F384+F387+F388</f>
        <v>1575.7815999999998</v>
      </c>
      <c r="G389" s="285">
        <f t="shared" si="17"/>
        <v>18101.992499999997</v>
      </c>
      <c r="H389" s="285">
        <f>H378+H383+H384+H387+H388</f>
        <v>11510.0075</v>
      </c>
      <c r="I389" s="285">
        <f t="shared" si="17"/>
        <v>11646.075479999998</v>
      </c>
      <c r="J389" s="132"/>
    </row>
    <row r="390" spans="1:10" ht="14.1" customHeight="1" x14ac:dyDescent="0.25">
      <c r="A390" s="216"/>
      <c r="B390" s="74"/>
      <c r="C390" s="163" t="s">
        <v>111</v>
      </c>
      <c r="D390" s="287"/>
      <c r="E390" s="287"/>
      <c r="F390" s="4"/>
      <c r="G390" s="4"/>
      <c r="H390" s="5"/>
      <c r="I390" s="5"/>
      <c r="J390" s="132"/>
    </row>
    <row r="391" spans="1:10" ht="14.1" customHeight="1" x14ac:dyDescent="0.25">
      <c r="A391" s="216"/>
      <c r="B391" s="74"/>
      <c r="C391" s="101" t="s">
        <v>121</v>
      </c>
      <c r="D391" s="287"/>
      <c r="E391" s="287"/>
      <c r="F391" s="4"/>
      <c r="G391" s="4"/>
      <c r="H391" s="7"/>
      <c r="I391" s="5"/>
      <c r="J391" s="132"/>
    </row>
    <row r="392" spans="1:10" ht="14.1" customHeight="1" x14ac:dyDescent="0.25">
      <c r="A392" s="216"/>
      <c r="B392" s="74"/>
      <c r="C392" s="101" t="s">
        <v>122</v>
      </c>
      <c r="D392" s="287"/>
      <c r="E392" s="287"/>
      <c r="F392" s="4"/>
      <c r="G392" s="4"/>
      <c r="H392" s="5"/>
      <c r="I392" s="7"/>
      <c r="J392" s="132"/>
    </row>
    <row r="393" spans="1:10" ht="15.75" customHeight="1" x14ac:dyDescent="0.25">
      <c r="A393" s="216"/>
      <c r="B393" s="8"/>
      <c r="C393" s="9"/>
      <c r="D393" s="109"/>
      <c r="E393" s="109"/>
      <c r="F393" s="109"/>
      <c r="G393" s="109"/>
      <c r="H393" s="109"/>
      <c r="I393" s="109"/>
      <c r="J393" s="12"/>
    </row>
    <row r="394" spans="1:10" ht="15.75" customHeight="1" x14ac:dyDescent="0.25">
      <c r="A394" s="216"/>
      <c r="B394" s="152" t="s">
        <v>119</v>
      </c>
      <c r="C394" s="14"/>
      <c r="D394" s="1"/>
      <c r="E394" s="1"/>
      <c r="F394" s="1"/>
      <c r="G394" s="1"/>
      <c r="H394" s="1"/>
      <c r="I394" s="1"/>
      <c r="J394" s="152"/>
    </row>
    <row r="395" spans="1:10" ht="15.75" customHeight="1" x14ac:dyDescent="0.25">
      <c r="A395" s="216"/>
      <c r="B395" s="152" t="s">
        <v>119</v>
      </c>
      <c r="C395" s="14"/>
      <c r="D395" s="1"/>
      <c r="E395" s="1"/>
      <c r="F395" s="1"/>
      <c r="G395" s="1"/>
      <c r="H395" s="1"/>
      <c r="I395" s="1"/>
      <c r="J395" s="152"/>
    </row>
    <row r="396" spans="1:10" ht="14.1" customHeight="1" x14ac:dyDescent="0.25">
      <c r="A396" s="216"/>
      <c r="C396" s="152" t="s">
        <v>119</v>
      </c>
      <c r="D396" s="159"/>
    </row>
    <row r="397" spans="1:10" ht="14.1" customHeight="1" x14ac:dyDescent="0.25">
      <c r="A397" s="216"/>
      <c r="B397" s="126"/>
      <c r="C397" s="237"/>
      <c r="D397" s="17"/>
      <c r="E397" s="237"/>
      <c r="F397" s="237"/>
      <c r="G397" s="237"/>
      <c r="H397" s="237"/>
      <c r="I397" s="237"/>
      <c r="J397" s="62"/>
    </row>
    <row r="398" spans="1:10" ht="14.1" customHeight="1" x14ac:dyDescent="0.25">
      <c r="A398" s="216"/>
      <c r="B398" s="74"/>
      <c r="C398" s="217" t="s">
        <v>112</v>
      </c>
      <c r="D398" s="159"/>
      <c r="E398" s="152"/>
      <c r="G398" s="152"/>
      <c r="H398" s="152"/>
      <c r="I398" s="152"/>
      <c r="J398" s="132"/>
    </row>
    <row r="399" spans="1:10" ht="14.1" customHeight="1" x14ac:dyDescent="0.25">
      <c r="A399" s="216"/>
      <c r="B399" s="74"/>
      <c r="C399" s="152"/>
      <c r="D399" s="159"/>
      <c r="E399" s="152"/>
      <c r="G399" s="152"/>
      <c r="H399" s="152"/>
      <c r="I399" s="152"/>
      <c r="J399" s="132"/>
    </row>
    <row r="400" spans="1:10" ht="14.1" customHeight="1" x14ac:dyDescent="0.25">
      <c r="A400" s="216"/>
      <c r="B400" s="74"/>
      <c r="C400" s="151" t="s">
        <v>113</v>
      </c>
      <c r="D400" s="187"/>
      <c r="E400" s="152"/>
      <c r="F400" s="152"/>
      <c r="G400" s="152"/>
      <c r="H400" s="152"/>
      <c r="I400" s="152"/>
      <c r="J400" s="132"/>
    </row>
    <row r="401" spans="1:10" ht="14.1" customHeight="1" x14ac:dyDescent="0.25">
      <c r="A401" s="216"/>
      <c r="B401" s="74"/>
      <c r="C401" s="257" t="s">
        <v>6</v>
      </c>
      <c r="D401" s="268"/>
      <c r="E401" s="152"/>
      <c r="F401" s="152"/>
      <c r="G401" s="152"/>
      <c r="H401" s="152"/>
      <c r="I401" s="152"/>
      <c r="J401" s="132"/>
    </row>
    <row r="402" spans="1:10" ht="14.1" customHeight="1" x14ac:dyDescent="0.25">
      <c r="A402" s="216"/>
      <c r="B402" s="74"/>
      <c r="C402" s="246" t="s">
        <v>92</v>
      </c>
      <c r="D402" s="46"/>
      <c r="E402" s="152"/>
      <c r="G402" s="152"/>
      <c r="H402" s="152"/>
      <c r="I402" s="152"/>
      <c r="J402" s="132"/>
    </row>
    <row r="403" spans="1:10" ht="14.1" customHeight="1" x14ac:dyDescent="0.25">
      <c r="A403" s="216"/>
      <c r="B403" s="74"/>
      <c r="C403" s="246" t="s">
        <v>75</v>
      </c>
      <c r="D403" s="46"/>
      <c r="E403" s="152"/>
      <c r="F403" s="152"/>
      <c r="G403" s="152"/>
      <c r="H403" s="152"/>
      <c r="I403" s="152"/>
      <c r="J403" s="132"/>
    </row>
    <row r="404" spans="1:10" ht="14.1" customHeight="1" x14ac:dyDescent="0.25">
      <c r="A404" s="216"/>
      <c r="B404" s="74"/>
      <c r="C404" s="57" t="s">
        <v>50</v>
      </c>
      <c r="D404" s="35"/>
      <c r="E404" s="152"/>
      <c r="F404" s="152"/>
      <c r="G404" s="152"/>
      <c r="H404" s="152"/>
      <c r="I404" s="152"/>
      <c r="J404" s="132"/>
    </row>
    <row r="405" spans="1:10" ht="14.1" customHeight="1" x14ac:dyDescent="0.25">
      <c r="A405" s="216"/>
      <c r="B405" s="74"/>
      <c r="C405" s="226"/>
      <c r="D405" s="147"/>
      <c r="E405" s="152"/>
      <c r="F405" s="152"/>
      <c r="G405" s="152"/>
      <c r="H405" s="152"/>
      <c r="I405" s="152"/>
      <c r="J405" s="132"/>
    </row>
    <row r="406" spans="1:10" ht="14.1" customHeight="1" x14ac:dyDescent="0.25">
      <c r="A406" s="216"/>
      <c r="B406" s="74"/>
      <c r="C406" s="101"/>
      <c r="D406" s="133"/>
      <c r="E406" s="152"/>
      <c r="F406" s="152"/>
      <c r="G406" s="152"/>
      <c r="H406" s="152"/>
      <c r="I406" s="152"/>
      <c r="J406" s="132"/>
    </row>
    <row r="407" spans="1:10" ht="14.1" customHeight="1" x14ac:dyDescent="0.25">
      <c r="A407" s="216"/>
      <c r="B407" s="74"/>
      <c r="C407" s="152"/>
      <c r="D407" s="159"/>
      <c r="E407" s="152"/>
      <c r="F407" s="152"/>
      <c r="G407" s="152"/>
      <c r="H407" s="152"/>
      <c r="I407" s="152"/>
      <c r="J407" s="132"/>
    </row>
    <row r="408" spans="1:10" ht="14.1" customHeight="1" x14ac:dyDescent="0.25">
      <c r="A408" s="216"/>
      <c r="B408" s="74"/>
      <c r="C408" s="152"/>
      <c r="D408" s="152"/>
      <c r="E408" s="152"/>
      <c r="F408" s="152"/>
      <c r="G408" s="152"/>
      <c r="H408" s="152"/>
      <c r="I408" s="152"/>
      <c r="J408" s="132"/>
    </row>
    <row r="409" spans="1:10" ht="29.25" customHeight="1" x14ac:dyDescent="0.25">
      <c r="A409" s="216"/>
      <c r="B409" s="229"/>
      <c r="C409" s="232" t="s">
        <v>15</v>
      </c>
      <c r="D409" s="232"/>
      <c r="E409" s="232"/>
      <c r="F409" s="232"/>
      <c r="G409" s="232"/>
      <c r="H409" s="232"/>
      <c r="I409" s="232"/>
      <c r="J409" s="236"/>
    </row>
    <row r="410" spans="1:10" ht="78" customHeight="1" x14ac:dyDescent="0.25">
      <c r="A410" s="216"/>
      <c r="B410" s="200"/>
      <c r="C410" s="20" t="s">
        <v>114</v>
      </c>
      <c r="D410" s="22" t="s">
        <v>115</v>
      </c>
      <c r="E410" s="20" t="s">
        <v>142</v>
      </c>
      <c r="F410" s="20" t="s">
        <v>143</v>
      </c>
      <c r="G410" s="25" t="s">
        <v>144</v>
      </c>
      <c r="H410" s="20" t="s">
        <v>145</v>
      </c>
      <c r="I410" s="222"/>
      <c r="J410" s="13"/>
    </row>
    <row r="411" spans="1:10" ht="14.1" customHeight="1" x14ac:dyDescent="0.25">
      <c r="A411" s="216"/>
      <c r="B411" s="74"/>
      <c r="C411" s="263" t="s">
        <v>116</v>
      </c>
      <c r="D411" s="10"/>
      <c r="E411" s="26">
        <f>E413+E412</f>
        <v>0</v>
      </c>
      <c r="F411" s="26">
        <f>F413+F412</f>
        <v>2196.7471299999997</v>
      </c>
      <c r="G411" s="87"/>
      <c r="H411" s="26">
        <f>SUM(H412:H413)</f>
        <v>1387.6323299999999</v>
      </c>
      <c r="I411" s="27"/>
      <c r="J411" s="132"/>
    </row>
    <row r="412" spans="1:10" ht="14.1" customHeight="1" x14ac:dyDescent="0.25">
      <c r="A412" s="216"/>
      <c r="B412" s="74"/>
      <c r="C412" s="29" t="s">
        <v>8</v>
      </c>
      <c r="D412" s="206"/>
      <c r="E412" s="207">
        <f>0</f>
        <v>0</v>
      </c>
      <c r="F412" s="207">
        <f>1713.27513</f>
        <v>1713.27513</v>
      </c>
      <c r="G412" s="208"/>
      <c r="H412" s="207">
        <f>1082.54115</f>
        <v>1082.54115</v>
      </c>
      <c r="I412" s="152"/>
      <c r="J412" s="132"/>
    </row>
    <row r="413" spans="1:10" ht="14.1" customHeight="1" x14ac:dyDescent="0.25">
      <c r="A413" s="216"/>
      <c r="B413" s="74"/>
      <c r="C413" s="29" t="s">
        <v>11</v>
      </c>
      <c r="D413" s="209"/>
      <c r="E413" s="210">
        <f>0</f>
        <v>0</v>
      </c>
      <c r="F413" s="210">
        <f>483.472</f>
        <v>483.47199999999998</v>
      </c>
      <c r="G413" s="211"/>
      <c r="H413" s="210">
        <f>305.09118</f>
        <v>305.09118000000001</v>
      </c>
      <c r="I413" s="152"/>
      <c r="J413" s="132"/>
    </row>
    <row r="414" spans="1:10" ht="14.1" customHeight="1" x14ac:dyDescent="0.25">
      <c r="A414" s="216"/>
      <c r="B414" s="74"/>
      <c r="C414" s="263" t="s">
        <v>117</v>
      </c>
      <c r="D414" s="10"/>
      <c r="E414" s="26">
        <f>SUM(E415:E416)</f>
        <v>49.672510000000003</v>
      </c>
      <c r="F414" s="26">
        <f>SUM(F415:F416)</f>
        <v>1348.16705</v>
      </c>
      <c r="G414" s="87"/>
      <c r="H414" s="26">
        <f>SUM(H415:H416)</f>
        <v>1644.93487</v>
      </c>
      <c r="I414" s="27"/>
      <c r="J414" s="132"/>
    </row>
    <row r="415" spans="1:10" ht="14.1" customHeight="1" x14ac:dyDescent="0.25">
      <c r="A415" s="216"/>
      <c r="B415" s="74"/>
      <c r="C415" s="29" t="s">
        <v>8</v>
      </c>
      <c r="D415" s="44"/>
      <c r="E415" s="30">
        <f>38.0875</f>
        <v>38.087499999999999</v>
      </c>
      <c r="F415" s="30">
        <f>1040.36537</f>
        <v>1040.36537</v>
      </c>
      <c r="G415" s="99"/>
      <c r="H415" s="30">
        <f>1294.4829</f>
        <v>1294.4829</v>
      </c>
      <c r="I415" s="152"/>
      <c r="J415" s="132"/>
    </row>
    <row r="416" spans="1:10" ht="14.1" customHeight="1" x14ac:dyDescent="0.25">
      <c r="A416" s="216"/>
      <c r="B416" s="74"/>
      <c r="C416" s="29" t="s">
        <v>11</v>
      </c>
      <c r="D416" s="219"/>
      <c r="E416" s="30">
        <f>11.58501</f>
        <v>11.58501</v>
      </c>
      <c r="F416" s="30">
        <f>307.80168</f>
        <v>307.80167999999998</v>
      </c>
      <c r="G416" s="110"/>
      <c r="H416" s="30">
        <f>350.45197</f>
        <v>350.45197000000002</v>
      </c>
      <c r="I416" s="152"/>
      <c r="J416" s="132"/>
    </row>
    <row r="417" spans="1:10" ht="14.1" customHeight="1" x14ac:dyDescent="0.25">
      <c r="A417" s="216"/>
      <c r="B417" s="74"/>
      <c r="C417" s="263" t="s">
        <v>118</v>
      </c>
      <c r="D417" s="10"/>
      <c r="E417" s="36">
        <f>SUM(E418:E419)</f>
        <v>0</v>
      </c>
      <c r="F417" s="36">
        <f>SUM(F418:F419)</f>
        <v>0</v>
      </c>
      <c r="G417" s="87"/>
      <c r="H417" s="36">
        <f>SUM(H418:H419)</f>
        <v>0</v>
      </c>
      <c r="I417" s="152"/>
      <c r="J417" s="132"/>
    </row>
    <row r="418" spans="1:10" ht="14.1" customHeight="1" x14ac:dyDescent="0.25">
      <c r="A418" s="216"/>
      <c r="B418" s="74"/>
      <c r="C418" s="29" t="s">
        <v>8</v>
      </c>
      <c r="D418" s="44"/>
      <c r="E418" s="30">
        <f>0</f>
        <v>0</v>
      </c>
      <c r="F418" s="30">
        <f>0</f>
        <v>0</v>
      </c>
      <c r="G418" s="99"/>
      <c r="H418" s="30">
        <f>0</f>
        <v>0</v>
      </c>
      <c r="I418" s="152"/>
      <c r="J418" s="132"/>
    </row>
    <row r="419" spans="1:10" ht="14.1" customHeight="1" x14ac:dyDescent="0.25">
      <c r="A419" s="216"/>
      <c r="B419" s="74"/>
      <c r="C419" s="29" t="s">
        <v>11</v>
      </c>
      <c r="D419" s="219"/>
      <c r="E419" s="30">
        <f>0</f>
        <v>0</v>
      </c>
      <c r="F419" s="30">
        <f>0</f>
        <v>0</v>
      </c>
      <c r="G419" s="110"/>
      <c r="H419" s="30">
        <f>0</f>
        <v>0</v>
      </c>
      <c r="I419" s="152"/>
      <c r="J419" s="132"/>
    </row>
    <row r="420" spans="1:10" ht="14.1" customHeight="1" x14ac:dyDescent="0.25">
      <c r="A420" s="216"/>
      <c r="B420" s="74"/>
      <c r="C420" s="277" t="s">
        <v>98</v>
      </c>
      <c r="D420" s="37"/>
      <c r="E420" s="39"/>
      <c r="F420" s="39"/>
      <c r="G420" s="40"/>
      <c r="H420" s="39"/>
      <c r="I420" s="152"/>
      <c r="J420" s="132"/>
    </row>
    <row r="421" spans="1:10" ht="14.1" customHeight="1" x14ac:dyDescent="0.25">
      <c r="A421" s="216"/>
      <c r="B421" s="74"/>
      <c r="C421" s="283" t="s">
        <v>88</v>
      </c>
      <c r="D421" s="41"/>
      <c r="E421" s="42">
        <f>E411+E414+E417+E420</f>
        <v>49.672510000000003</v>
      </c>
      <c r="F421" s="42">
        <f>F411+F414+F417+F420</f>
        <v>3544.9141799999998</v>
      </c>
      <c r="G421" s="43"/>
      <c r="H421" s="42">
        <f>H411+H414+H417+H420</f>
        <v>3032.5672</v>
      </c>
      <c r="I421" s="27"/>
      <c r="J421" s="132"/>
    </row>
    <row r="422" spans="1:10" ht="18.75" customHeight="1" x14ac:dyDescent="0.25">
      <c r="A422" s="216"/>
      <c r="B422" s="74"/>
      <c r="C422" s="152" t="s">
        <v>140</v>
      </c>
      <c r="D422" s="159"/>
      <c r="E422" s="152"/>
      <c r="F422" s="152"/>
      <c r="G422" s="152"/>
      <c r="H422" s="152"/>
      <c r="I422" s="152"/>
      <c r="J422" s="132"/>
    </row>
    <row r="423" spans="1:10" ht="14.1" customHeight="1" x14ac:dyDescent="0.25">
      <c r="A423" s="216"/>
      <c r="B423" s="8"/>
      <c r="C423" s="212" t="s">
        <v>141</v>
      </c>
      <c r="D423" s="202"/>
      <c r="E423" s="212"/>
      <c r="F423" s="212"/>
      <c r="G423" s="212"/>
      <c r="H423" s="212"/>
      <c r="I423" s="212"/>
      <c r="J423" s="12"/>
    </row>
    <row r="424" spans="1:10" ht="0" hidden="1" customHeight="1" x14ac:dyDescent="0.25"/>
    <row r="425" spans="1:10" ht="0" hidden="1" customHeight="1" x14ac:dyDescent="0.25"/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16.5" customHeight="1" x14ac:dyDescent="0.25"/>
  </sheetData>
  <mergeCells count="11">
    <mergeCell ref="B2:J2"/>
    <mergeCell ref="B9:J9"/>
    <mergeCell ref="C11:D11"/>
    <mergeCell ref="E11:F11"/>
    <mergeCell ref="G11:H11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33&amp;R22.08.2023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2023-08-22T06:59:57Z</dcterms:modified>
</cp:coreProperties>
</file>