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258913D3-BA4C-4E17-98C1-932AF1616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331" i="1"/>
  <c r="H329" i="1"/>
  <c r="F329" i="1"/>
  <c r="E329" i="1"/>
  <c r="H328" i="1"/>
  <c r="H327" i="1" s="1"/>
  <c r="F328" i="1"/>
  <c r="E328" i="1"/>
  <c r="E327" i="1" s="1"/>
  <c r="F327" i="1"/>
  <c r="G327" i="1" s="1"/>
  <c r="H326" i="1"/>
  <c r="H324" i="1" s="1"/>
  <c r="F326" i="1"/>
  <c r="E326" i="1"/>
  <c r="E324" i="1" s="1"/>
  <c r="H325" i="1"/>
  <c r="F325" i="1"/>
  <c r="E325" i="1"/>
  <c r="F324" i="1"/>
  <c r="G324" i="1" s="1"/>
  <c r="H323" i="1"/>
  <c r="F323" i="1"/>
  <c r="F321" i="1" s="1"/>
  <c r="E323" i="1"/>
  <c r="H322" i="1"/>
  <c r="F322" i="1"/>
  <c r="E322" i="1"/>
  <c r="H321" i="1"/>
  <c r="E321" i="1"/>
  <c r="E299" i="1"/>
  <c r="D299" i="1"/>
  <c r="I298" i="1"/>
  <c r="H298" i="1"/>
  <c r="G298" i="1"/>
  <c r="F298" i="1"/>
  <c r="I297" i="1"/>
  <c r="G297" i="1"/>
  <c r="H297" i="1" s="1"/>
  <c r="F297" i="1"/>
  <c r="I296" i="1"/>
  <c r="G296" i="1"/>
  <c r="G294" i="1" s="1"/>
  <c r="H294" i="1" s="1"/>
  <c r="F296" i="1"/>
  <c r="I295" i="1"/>
  <c r="G295" i="1"/>
  <c r="F295" i="1"/>
  <c r="I294" i="1"/>
  <c r="F294" i="1"/>
  <c r="I293" i="1"/>
  <c r="G293" i="1"/>
  <c r="H293" i="1" s="1"/>
  <c r="F293" i="1"/>
  <c r="I292" i="1"/>
  <c r="H292" i="1"/>
  <c r="G292" i="1"/>
  <c r="F292" i="1"/>
  <c r="I291" i="1"/>
  <c r="G291" i="1"/>
  <c r="G288" i="1" s="1"/>
  <c r="F291" i="1"/>
  <c r="I290" i="1"/>
  <c r="H290" i="1"/>
  <c r="G290" i="1"/>
  <c r="F290" i="1"/>
  <c r="I289" i="1"/>
  <c r="G289" i="1"/>
  <c r="H289" i="1" s="1"/>
  <c r="F289" i="1"/>
  <c r="I288" i="1"/>
  <c r="I299" i="1" s="1"/>
  <c r="F288" i="1"/>
  <c r="F299" i="1" s="1"/>
  <c r="E288" i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E207" i="1"/>
  <c r="D207" i="1"/>
  <c r="G206" i="1"/>
  <c r="H205" i="1"/>
  <c r="G205" i="1"/>
  <c r="F205" i="1"/>
  <c r="E205" i="1"/>
  <c r="H204" i="1"/>
  <c r="H207" i="1" s="1"/>
  <c r="G204" i="1"/>
  <c r="F204" i="1"/>
  <c r="F207" i="1" s="1"/>
  <c r="G207" i="1" s="1"/>
  <c r="E204" i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E184" i="1" s="1"/>
  <c r="H177" i="1"/>
  <c r="F177" i="1"/>
  <c r="G177" i="1" s="1"/>
  <c r="E177" i="1"/>
  <c r="H176" i="1"/>
  <c r="F176" i="1"/>
  <c r="E176" i="1"/>
  <c r="H175" i="1"/>
  <c r="H184" i="1" s="1"/>
  <c r="F175" i="1"/>
  <c r="G175" i="1" s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I133" i="1" s="1"/>
  <c r="G140" i="1"/>
  <c r="H140" i="1" s="1"/>
  <c r="F140" i="1"/>
  <c r="F139" i="1" s="1"/>
  <c r="G139" i="1"/>
  <c r="E139" i="1"/>
  <c r="E133" i="1" s="1"/>
  <c r="E150" i="1" s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G134" i="1"/>
  <c r="G133" i="1" s="1"/>
  <c r="E134" i="1"/>
  <c r="I132" i="1"/>
  <c r="H132" i="1"/>
  <c r="F132" i="1"/>
  <c r="H131" i="1"/>
  <c r="I130" i="1"/>
  <c r="H130" i="1"/>
  <c r="G130" i="1"/>
  <c r="F130" i="1"/>
  <c r="I129" i="1"/>
  <c r="G129" i="1"/>
  <c r="G128" i="1" s="1"/>
  <c r="F129" i="1"/>
  <c r="I128" i="1"/>
  <c r="I150" i="1" s="1"/>
  <c r="F128" i="1"/>
  <c r="F150" i="1" s="1"/>
  <c r="E128" i="1"/>
  <c r="C126" i="1"/>
  <c r="D107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I96" i="1" s="1"/>
  <c r="I95" i="1" s="1"/>
  <c r="G98" i="1"/>
  <c r="H98" i="1" s="1"/>
  <c r="F98" i="1"/>
  <c r="I97" i="1"/>
  <c r="H97" i="1"/>
  <c r="H96" i="1" s="1"/>
  <c r="H95" i="1" s="1"/>
  <c r="G97" i="1"/>
  <c r="F97" i="1"/>
  <c r="F96" i="1"/>
  <c r="E96" i="1"/>
  <c r="E95" i="1" s="1"/>
  <c r="E107" i="1" s="1"/>
  <c r="F95" i="1"/>
  <c r="I94" i="1"/>
  <c r="H94" i="1"/>
  <c r="G94" i="1"/>
  <c r="F94" i="1"/>
  <c r="I93" i="1"/>
  <c r="G93" i="1"/>
  <c r="G92" i="1" s="1"/>
  <c r="F93" i="1"/>
  <c r="I92" i="1"/>
  <c r="I107" i="1" s="1"/>
  <c r="F92" i="1"/>
  <c r="F107" i="1" s="1"/>
  <c r="C89" i="1"/>
  <c r="H85" i="1"/>
  <c r="F85" i="1"/>
  <c r="D85" i="1"/>
  <c r="G61" i="1"/>
  <c r="G60" i="1"/>
  <c r="H55" i="1"/>
  <c r="F55" i="1"/>
  <c r="G55" i="1" s="1"/>
  <c r="E55" i="1"/>
  <c r="D44" i="1"/>
  <c r="H43" i="1"/>
  <c r="H42" i="1"/>
  <c r="H41" i="1"/>
  <c r="H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F34" i="1" s="1"/>
  <c r="F26" i="1" s="1"/>
  <c r="I34" i="1"/>
  <c r="H34" i="1"/>
  <c r="G34" i="1"/>
  <c r="E34" i="1"/>
  <c r="I33" i="1"/>
  <c r="G33" i="1"/>
  <c r="G26" i="1" s="1"/>
  <c r="F33" i="1"/>
  <c r="I32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G27" i="1" s="1"/>
  <c r="F29" i="1"/>
  <c r="I28" i="1"/>
  <c r="I27" i="1" s="1"/>
  <c r="I26" i="1" s="1"/>
  <c r="G28" i="1"/>
  <c r="H28" i="1" s="1"/>
  <c r="F28" i="1"/>
  <c r="F27" i="1"/>
  <c r="E27" i="1"/>
  <c r="E26" i="1" s="1"/>
  <c r="I25" i="1"/>
  <c r="G25" i="1"/>
  <c r="G23" i="1" s="1"/>
  <c r="F25" i="1"/>
  <c r="I24" i="1"/>
  <c r="G24" i="1"/>
  <c r="H24" i="1" s="1"/>
  <c r="F24" i="1"/>
  <c r="I23" i="1"/>
  <c r="I44" i="1" s="1"/>
  <c r="F23" i="1"/>
  <c r="E23" i="1"/>
  <c r="H16" i="1"/>
  <c r="F16" i="1"/>
  <c r="D16" i="1"/>
  <c r="G150" i="1" l="1"/>
  <c r="G299" i="1"/>
  <c r="H331" i="1"/>
  <c r="F44" i="1"/>
  <c r="G321" i="1"/>
  <c r="G331" i="1" s="1"/>
  <c r="F331" i="1"/>
  <c r="E331" i="1"/>
  <c r="H139" i="1"/>
  <c r="G44" i="1"/>
  <c r="H134" i="1"/>
  <c r="H133" i="1" s="1"/>
  <c r="E44" i="1"/>
  <c r="G96" i="1"/>
  <c r="G95" i="1" s="1"/>
  <c r="G107" i="1" s="1"/>
  <c r="H25" i="1"/>
  <c r="H23" i="1" s="1"/>
  <c r="H29" i="1"/>
  <c r="H27" i="1" s="1"/>
  <c r="H26" i="1" s="1"/>
  <c r="H33" i="1"/>
  <c r="H93" i="1"/>
  <c r="H92" i="1" s="1"/>
  <c r="H107" i="1" s="1"/>
  <c r="H129" i="1"/>
  <c r="H128" i="1" s="1"/>
  <c r="F184" i="1"/>
  <c r="G184" i="1" s="1"/>
  <c r="H291" i="1"/>
  <c r="H288" i="1" s="1"/>
  <c r="H299" i="1" s="1"/>
  <c r="H44" i="1" l="1"/>
  <c r="H150" i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<sst xmlns="http://schemas.openxmlformats.org/spreadsheetml/2006/main" count="328" uniqueCount="146">
  <si>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</si>
  <si>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</si>
  <si>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</si>
  <si>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</si>
  <si>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</si>
  <si>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</si>
  <si>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</si>
  <si>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</si>
  <si>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</si>
  <si>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</si>
  <si>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</si>
  <si>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</si>
  <si>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</si>
  <si>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</si>
  <si>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</si>
  <si>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</si>
  <si>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</si>
  <si>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</si>
  <si>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</si>
  <si>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</si>
  <si>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</si>
  <si>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</si>
  <si>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</si>
  <si>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</si>
  <si>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</si>
  <si>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</si>
  <si>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</si>
  <si>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</si>
  <si>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</si>
  <si>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</si>
  <si>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</si>
  <si>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</si>
  <si>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</si>
  <si>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</si>
  <si>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</si>
  <si>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</si>
  <si>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</si>
  <si>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</si>
  <si>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</si>
  <si>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</si>
  <si>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</si>
  <si>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</si>
  <si>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</si>
  <si>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</si>
  <si>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</si>
  <si>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</si>
  <si>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</si>
  <si>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</si>
  <si>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</si>
  <si>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</si>
  <si>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</si>
  <si>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</si>
  <si>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</si>
  <si>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</si>
  <si>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</si>
  <si>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</si>
  <si>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</si>
  <si>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</si>
  <si>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</si>
  <si>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</si>
  <si>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</si>
  <si>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</si>
  <si>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</si>
  <si>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</si>
  <si>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</si>
  <si>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</si>
  <si>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</si>
  <si>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</si>
  <si>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</si>
  <si>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</si>
  <si>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</si>
  <si>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</si>
  <si>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</si>
  <si>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</si>
  <si>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</si>
  <si>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</si>
  <si>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</si>
  <si>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</si>
  <si>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</si>
  <si>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</si>
  <si>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</si>
  <si>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</si>
  <si>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</si>
  <si>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</si>
  <si>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</si>
  <si>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</si>
  <si>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</si>
  <si>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</si>
  <si>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</si>
  <si>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</si>
  <si>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</si>
  <si>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</si>
  <si>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</si>
  <si>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</si>
  <si>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</si>
  <si>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</si>
  <si>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</si>
  <si>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</si>
  <si>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</si>
  <si>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</si>
  <si>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</si>
  <si>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</si>
  <si>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</si>
  <si>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</si>
  <si>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</si>
  <si>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</si>
  <si>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</si>
  <si>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</si>
  <si>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</si>
  <si>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</si>
  <si>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</si>
  <si>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</si>
  <si>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</si>
  <si>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</si>
  <si>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</si>
  <si>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</si>
  <si>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</si>
  <si>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</si>
  <si>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</si>
  <si>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</si>
  <si>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</si>
  <si>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</si>
  <si>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</si>
  <si>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</si>
  <si>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</si>
  <si>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</si>
  <si>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</si>
  <si>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</si>
  <si>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</si>
  <si>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</si>
  <si>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</si>
  <si>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</si>
  <si>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</si>
  <si>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</si>
  <si>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</si>
  <si>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</si>
  <si>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</si>
  <si>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</si>
  <si>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7</t>
  </si>
  <si>
    <t>FANGST T.O.M UKE 7</t>
  </si>
  <si>
    <t>RESTKVOTER UKE 7</t>
  </si>
  <si>
    <t>FANGST T.O.M UKE 7 2022</t>
  </si>
  <si>
    <r>
      <t xml:space="preserve">3 </t>
    </r>
    <r>
      <rPr>
        <sz val="9"/>
        <color indexed="8"/>
        <rFont val="Calibri"/>
        <family val="2"/>
      </rPr>
      <t>Registrert rekreasjonsfiske utgjør 63 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</si>
  <si>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</si>
  <si>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</si>
  <si>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252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</si>
</sst>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84053</v>
      </c>
      <c r="F23" s="28">
        <f t="shared" si="0"/>
        <v>2161.7504999999996</v>
      </c>
      <c r="G23" s="28">
        <f t="shared" si="0"/>
        <v>14117.8163</v>
      </c>
      <c r="H23" s="11">
        <f t="shared" si="0"/>
        <v>69935.183699999994</v>
      </c>
      <c r="I23" s="11">
        <f t="shared" si="0"/>
        <v>20947.396359999999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83271</v>
      </c>
      <c r="F24" s="23">
        <f>2157.9255</f>
        <v>2157.9254999999998</v>
      </c>
      <c r="G24" s="23">
        <f>14067.1223</f>
        <v>14067.122300000001</v>
      </c>
      <c r="H24" s="23">
        <f>E24-G24</f>
        <v>69203.877699999997</v>
      </c>
      <c r="I24" s="23">
        <f>20902.39508</f>
        <v>20902.395079999998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3.825</f>
        <v>3.8250000000000002</v>
      </c>
      <c r="G25" s="23">
        <f>50.694</f>
        <v>50.694000000000003</v>
      </c>
      <c r="H25" s="23">
        <f>E25-G25</f>
        <v>731.30600000000004</v>
      </c>
      <c r="I25" s="23">
        <f>45.00128</f>
        <v>45.001280000000001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191675</v>
      </c>
      <c r="F26" s="28">
        <f t="shared" si="1"/>
        <v>10830.01982</v>
      </c>
      <c r="G26" s="11">
        <f t="shared" si="1"/>
        <v>29371.80242</v>
      </c>
      <c r="H26" s="11">
        <f t="shared" si="1"/>
        <v>162303.19758000001</v>
      </c>
      <c r="I26" s="11">
        <f t="shared" si="1"/>
        <v>44212.969249999995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148041</v>
      </c>
      <c r="F27" s="134">
        <f>F28+F29+F30+F31+F32</f>
        <v>10148.60096</v>
      </c>
      <c r="G27" s="134">
        <f t="shared" si="2"/>
        <v>21838.341639999999</v>
      </c>
      <c r="H27" s="134">
        <f t="shared" si="2"/>
        <v>126202.65836</v>
      </c>
      <c r="I27" s="134">
        <f t="shared" si="2"/>
        <v>36067.212049999995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38361</v>
      </c>
      <c r="F28" s="205">
        <f>1864.55812</f>
        <v>1864.5581199999999</v>
      </c>
      <c r="G28" s="129">
        <f>4677.58187 - F57</f>
        <v>4677.58187</v>
      </c>
      <c r="H28" s="129">
        <f t="shared" ref="H28:H40" si="3">E28-G28</f>
        <v>33683.418129999998</v>
      </c>
      <c r="I28" s="129">
        <f>7714.11935 - H57</f>
        <v>7714.1193499999999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39519</v>
      </c>
      <c r="F29" s="129">
        <f>2693.89331</f>
        <v>2693.8933099999999</v>
      </c>
      <c r="G29" s="129">
        <f>7262.89086 - F58</f>
        <v>7262.8908600000004</v>
      </c>
      <c r="H29" s="129">
        <f t="shared" si="3"/>
        <v>32256.10914</v>
      </c>
      <c r="I29" s="129">
        <f>12984.52602 - H58</f>
        <v>12984.526019999999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36008</v>
      </c>
      <c r="F30" s="129">
        <f>2576.92298</f>
        <v>2576.9229799999998</v>
      </c>
      <c r="G30" s="129">
        <f>4965.70641 - F59</f>
        <v>4965.7064099999998</v>
      </c>
      <c r="H30" s="129">
        <f t="shared" si="3"/>
        <v>31042.293590000001</v>
      </c>
      <c r="I30" s="129">
        <f>8976.99341 - H59</f>
        <v>8976.9934099999991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24489</v>
      </c>
      <c r="F31" s="129">
        <f>3013.22655</f>
        <v>3013.2265499999999</v>
      </c>
      <c r="G31" s="129">
        <f>4932.1625 - F60</f>
        <v>4932.1625000000004</v>
      </c>
      <c r="H31" s="129">
        <f t="shared" si="3"/>
        <v>19556.837500000001</v>
      </c>
      <c r="I31" s="129">
        <f>6391.57327 - H60</f>
        <v>6391.5732699999999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22831</v>
      </c>
      <c r="F33" s="134">
        <f>20.34372</f>
        <v>20.343720000000001</v>
      </c>
      <c r="G33" s="134">
        <f>5642.69859</f>
        <v>5642.69859</v>
      </c>
      <c r="H33" s="134">
        <f t="shared" si="3"/>
        <v>17188.30141</v>
      </c>
      <c r="I33" s="134">
        <f>6275.72479</f>
        <v>6275.7247900000002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20803</v>
      </c>
      <c r="F34" s="134">
        <f>F35+F36</f>
        <v>661.07514000000003</v>
      </c>
      <c r="G34" s="134">
        <f>G35+G36</f>
        <v>1890.7621899999999</v>
      </c>
      <c r="H34" s="134">
        <f t="shared" si="3"/>
        <v>18912.237809999999</v>
      </c>
      <c r="I34" s="134">
        <f>I35+I36</f>
        <v>1870.03241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19603</v>
      </c>
      <c r="F35" s="129">
        <f>661.07514</f>
        <v>661.07514000000003</v>
      </c>
      <c r="G35" s="134">
        <f>1890.76219 - F61 - F62</f>
        <v>1890.7621899999999</v>
      </c>
      <c r="H35" s="129">
        <f t="shared" si="3"/>
        <v>17712.237809999999</v>
      </c>
      <c r="I35" s="129">
        <f>1870.03241 - H61 - H62</f>
        <v>1870.03241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30.514</f>
        <v>30.513999999999999</v>
      </c>
      <c r="G38" s="100">
        <f>47.50183</f>
        <v>47.501829999999998</v>
      </c>
      <c r="H38" s="100">
        <f t="shared" si="3"/>
        <v>803.49816999999996</v>
      </c>
      <c r="I38" s="100">
        <f>43.1767</f>
        <v>43.176699999999997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0</v>
      </c>
      <c r="G39" s="100">
        <f>F61</f>
        <v>0</v>
      </c>
      <c r="H39" s="100">
        <f t="shared" si="3"/>
        <v>3048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16.88267</f>
        <v>16.882670000000001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290027</v>
      </c>
      <c r="F44" s="78">
        <f t="shared" si="4"/>
        <v>13039.16999</v>
      </c>
      <c r="G44" s="78">
        <f t="shared" si="4"/>
        <v>50616.68155000003</v>
      </c>
      <c r="H44" s="78">
        <f t="shared" si="4"/>
        <v>239410.31844999999</v>
      </c>
      <c r="I44" s="78">
        <f t="shared" si="4"/>
        <v>72324.48073999997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33472</v>
      </c>
      <c r="E92" s="28">
        <v>36235</v>
      </c>
      <c r="F92" s="11">
        <f t="shared" ref="F92:I92" si="5">F94+F93</f>
        <v>362.25839999999999</v>
      </c>
      <c r="G92" s="11">
        <f t="shared" si="5"/>
        <v>1980.33152</v>
      </c>
      <c r="H92" s="11">
        <f t="shared" si="5"/>
        <v>34254.66848</v>
      </c>
      <c r="I92" s="11">
        <f t="shared" si="5"/>
        <v>3722.10887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32722</v>
      </c>
      <c r="E93" s="48">
        <v>35423</v>
      </c>
      <c r="F93" s="23">
        <f>354.1958</f>
        <v>354.19580000000002</v>
      </c>
      <c r="G93" s="23">
        <f>1956.83392</f>
        <v>1956.83392</v>
      </c>
      <c r="H93" s="23">
        <f>E93-G93</f>
        <v>33466.166080000003</v>
      </c>
      <c r="I93" s="23">
        <f>3689.04738</f>
        <v>3689.04738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8.0626</f>
        <v>8.0625999999999998</v>
      </c>
      <c r="G94" s="52">
        <f>23.4976</f>
        <v>23.497599999999998</v>
      </c>
      <c r="H94" s="52">
        <f>E94-G94</f>
        <v>788.50239999999997</v>
      </c>
      <c r="I94" s="52">
        <f>33.06149</f>
        <v>33.061489999999999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56489</v>
      </c>
      <c r="E95" s="28">
        <f t="shared" ref="E95:I95" si="6">E96+E101+E102</f>
        <v>62139</v>
      </c>
      <c r="F95" s="11">
        <f t="shared" si="6"/>
        <v>604.32511</v>
      </c>
      <c r="G95" s="11">
        <f t="shared" si="6"/>
        <v>4984.2546000000002</v>
      </c>
      <c r="H95" s="11">
        <f t="shared" si="6"/>
        <v>57154.7454</v>
      </c>
      <c r="I95" s="11">
        <f t="shared" si="6"/>
        <v>6603.1058700000012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42290</v>
      </c>
      <c r="E96" s="60">
        <f t="shared" ref="E96:I96" si="7">E97+E98+E99+E100</f>
        <v>46520</v>
      </c>
      <c r="F96" s="134">
        <f t="shared" si="7"/>
        <v>522.22837000000004</v>
      </c>
      <c r="G96" s="134">
        <f t="shared" si="7"/>
        <v>2771.2072599999997</v>
      </c>
      <c r="H96" s="134">
        <f t="shared" si="7"/>
        <v>43748.792740000004</v>
      </c>
      <c r="I96" s="134">
        <f t="shared" si="7"/>
        <v>4104.3154600000007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11327</v>
      </c>
      <c r="E97" s="65">
        <v>12460</v>
      </c>
      <c r="F97" s="129">
        <f>118.22607</f>
        <v>118.22607000000001</v>
      </c>
      <c r="G97" s="129">
        <f>832.81165</f>
        <v>832.81164999999999</v>
      </c>
      <c r="H97" s="129">
        <f t="shared" ref="H97:H104" si="8">E97-G97</f>
        <v>11627.18835</v>
      </c>
      <c r="I97" s="129">
        <f>958.54437</f>
        <v>958.54436999999996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12171</v>
      </c>
      <c r="E98" s="65">
        <v>13388</v>
      </c>
      <c r="F98" s="129">
        <f>126.42823</f>
        <v>126.42823</v>
      </c>
      <c r="G98" s="129">
        <f>1059.12312</f>
        <v>1059.12312</v>
      </c>
      <c r="H98" s="129">
        <f t="shared" si="8"/>
        <v>12328.87688</v>
      </c>
      <c r="I98" s="129">
        <f>1677.13308</f>
        <v>1677.1330800000001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11356</v>
      </c>
      <c r="E99" s="65">
        <v>12492</v>
      </c>
      <c r="F99" s="129">
        <f>167.76571</f>
        <v>167.76571000000001</v>
      </c>
      <c r="G99" s="129">
        <f>564.18722</f>
        <v>564.18722000000002</v>
      </c>
      <c r="H99" s="129">
        <f t="shared" si="8"/>
        <v>11927.81278</v>
      </c>
      <c r="I99" s="129">
        <f>1001.10521</f>
        <v>1001.1052100000001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7436</v>
      </c>
      <c r="E100" s="65">
        <v>8180</v>
      </c>
      <c r="F100" s="129">
        <f>109.80836</f>
        <v>109.80835999999999</v>
      </c>
      <c r="G100" s="129">
        <f>315.08527</f>
        <v>315.08526999999998</v>
      </c>
      <c r="H100" s="129">
        <f t="shared" si="8"/>
        <v>7864.9147300000004</v>
      </c>
      <c r="I100" s="129">
        <f>467.5328</f>
        <v>467.53280000000001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9830</v>
      </c>
      <c r="E101" s="60">
        <v>10813</v>
      </c>
      <c r="F101" s="134">
        <f>2.84206</f>
        <v>2.84206</v>
      </c>
      <c r="G101" s="134">
        <f>1771.29516</f>
        <v>1771.2951599999999</v>
      </c>
      <c r="H101" s="134">
        <f t="shared" si="8"/>
        <v>9041.7048400000003</v>
      </c>
      <c r="I101" s="134">
        <f>2231.53564</f>
        <v>2231.5356400000001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4369</v>
      </c>
      <c r="E102" s="63">
        <v>4806</v>
      </c>
      <c r="F102" s="77">
        <f>79.25468</f>
        <v>79.254679999999993</v>
      </c>
      <c r="G102" s="77">
        <f>441.75218</f>
        <v>441.75218000000001</v>
      </c>
      <c r="H102" s="77">
        <f t="shared" si="8"/>
        <v>4364.2478199999996</v>
      </c>
      <c r="I102" s="77">
        <f>267.25477</f>
        <v>267.25477000000001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390</v>
      </c>
      <c r="E103" s="92">
        <v>390</v>
      </c>
      <c r="F103" s="100">
        <f>0.009</f>
        <v>8.9999999999999993E-3</v>
      </c>
      <c r="G103" s="100">
        <f>0.26931</f>
        <v>0.26930999999999999</v>
      </c>
      <c r="H103" s="100">
        <f t="shared" si="8"/>
        <v>389.73068999999998</v>
      </c>
      <c r="I103" s="100">
        <f>7.11043</f>
        <v>7.11043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0.92304</f>
        <v>0.92303999999999997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90701</v>
      </c>
      <c r="E107" s="78">
        <f t="shared" ref="E107:I107" si="9">E92+E95+E103+E104+E105+E106</f>
        <v>99114</v>
      </c>
      <c r="F107" s="78">
        <f t="shared" si="9"/>
        <v>967.51554999999996</v>
      </c>
      <c r="G107" s="78">
        <f t="shared" si="9"/>
        <v>7273.6232299999865</v>
      </c>
      <c r="H107" s="78">
        <f t="shared" si="9"/>
        <v>91840.376770000017</v>
      </c>
      <c r="I107" s="78">
        <f t="shared" si="9"/>
        <v>10676.059950000001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1857.8308500000001</v>
      </c>
      <c r="G128" s="11">
        <f t="shared" si="10"/>
        <v>14832.50842</v>
      </c>
      <c r="H128" s="11">
        <f t="shared" si="10"/>
        <v>55708.491580000002</v>
      </c>
      <c r="I128" s="11">
        <f t="shared" si="10"/>
        <v>11030.247139999999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1215.16335</f>
        <v>1215.16335</v>
      </c>
      <c r="G129" s="23">
        <f>13375.71127</f>
        <v>13375.71127</v>
      </c>
      <c r="H129" s="23">
        <f>E129-G129</f>
        <v>42716.28873</v>
      </c>
      <c r="I129" s="23">
        <f>9139.16091</f>
        <v>9139.1609100000005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642.6675</f>
        <v>642.66750000000002</v>
      </c>
      <c r="G130" s="23">
        <f>1456.79715</f>
        <v>1456.7971500000001</v>
      </c>
      <c r="H130" s="23">
        <f>E130-G130</f>
        <v>12492.20285</v>
      </c>
      <c r="I130" s="23">
        <f>1891.08623</f>
        <v>1891.0862299999999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2.543</f>
        <v>2.5430000000000001</v>
      </c>
      <c r="G132" s="97">
        <f>10.49695+252.28848</f>
        <v>262.78543000000002</v>
      </c>
      <c r="H132" s="97">
        <f>E132-G132</f>
        <v>48909.214569999996</v>
      </c>
      <c r="I132" s="97">
        <f>29.609</f>
        <v>29.609000000000002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2898.25452</v>
      </c>
      <c r="G133" s="96">
        <f t="shared" ref="G133" si="11">G134+G139+G142</f>
        <v>19373.443299999999</v>
      </c>
      <c r="H133" s="96">
        <f>H134+H139+H142</f>
        <v>61566.556700000001</v>
      </c>
      <c r="I133" s="96">
        <f>I134+I139+I142</f>
        <v>14311.453859999998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2567.0845099999997</v>
      </c>
      <c r="G134" s="127">
        <f>G135+G136+G138+G137</f>
        <v>17824.93562</v>
      </c>
      <c r="H134" s="127">
        <f>H135+H136+H137+H138</f>
        <v>41679.064380000003</v>
      </c>
      <c r="I134" s="127">
        <f>I135+I136+I137+I138</f>
        <v>13254.890009999999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309.76482</f>
        <v>309.76481999999999</v>
      </c>
      <c r="G135" s="129">
        <v>3085.5842400000001</v>
      </c>
      <c r="H135" s="129">
        <f>E135-G135</f>
        <v>14418.41576</v>
      </c>
      <c r="I135" s="129">
        <f>2092.58589</f>
        <v>2092.5858899999998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943.51904</f>
        <v>943.51904000000002</v>
      </c>
      <c r="G136" s="129">
        <v>5402.3059499999999</v>
      </c>
      <c r="H136" s="129">
        <f>E136-G136</f>
        <v>9681.6940500000001</v>
      </c>
      <c r="I136" s="129">
        <f>4364.58607</f>
        <v>4364.5860700000003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705.56956</f>
        <v>705.56956000000002</v>
      </c>
      <c r="G137" s="129">
        <v>4305.24593</v>
      </c>
      <c r="H137" s="129">
        <f>E137-G137</f>
        <v>10717.754069999999</v>
      </c>
      <c r="I137" s="129">
        <f>3732.90633</f>
        <v>3732.9063299999998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608.23109</f>
        <v>608.23108999999999</v>
      </c>
      <c r="G138" s="129">
        <v>5031.7995000000001</v>
      </c>
      <c r="H138" s="129">
        <f>E138-G138</f>
        <v>6861.2004999999999</v>
      </c>
      <c r="I138" s="129">
        <f>3064.81172</f>
        <v>3064.8117200000002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175.74249</v>
      </c>
      <c r="G139" s="134">
        <f>SUM(G140:G141)</f>
        <v>601.35706000000005</v>
      </c>
      <c r="H139" s="134">
        <f>H140+H141</f>
        <v>8830.6429399999997</v>
      </c>
      <c r="I139" s="134">
        <f>SUM(I140:I141)</f>
        <v>294.6207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169.38729</f>
        <v>169.38729000000001</v>
      </c>
      <c r="G140" s="129">
        <f>580.55917</f>
        <v>580.55916999999999</v>
      </c>
      <c r="H140" s="129">
        <f t="shared" ref="H140:H147" si="12">E140-G140</f>
        <v>8351.4408299999996</v>
      </c>
      <c r="I140" s="129">
        <f>260.54325</f>
        <v>260.54325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6.3552</f>
        <v>6.3552</v>
      </c>
      <c r="G141" s="129">
        <f>20.79789</f>
        <v>20.797889999999999</v>
      </c>
      <c r="H141" s="129">
        <f t="shared" si="12"/>
        <v>479.20211</v>
      </c>
      <c r="I141" s="129">
        <f>34.07745</f>
        <v>34.077449999999999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155.42752</f>
        <v>155.42751999999999</v>
      </c>
      <c r="G142" s="77">
        <f>947.15062</f>
        <v>947.15062</v>
      </c>
      <c r="H142" s="77">
        <f t="shared" si="12"/>
        <v>11056.84938</v>
      </c>
      <c r="I142" s="77">
        <f>761.94315</f>
        <v>761.94314999999995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0.324</f>
        <v>0.32400000000000001</v>
      </c>
      <c r="G143" s="141">
        <f>1.31693</f>
        <v>1.3169299999999999</v>
      </c>
      <c r="H143" s="141">
        <f t="shared" si="12"/>
        <v>135.68306999999999</v>
      </c>
      <c r="I143" s="141">
        <f>1.63967</f>
        <v>1.63967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8.14587</f>
        <v>8.1458700000000004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4767.0982400000003</v>
      </c>
      <c r="G150" s="78">
        <f>G128+G132+G133+G143+G144+G145+G146+G147+G148</f>
        <v>36470.054080000002</v>
      </c>
      <c r="H150" s="78">
        <f>H128+H132+H133+H143+H144+H145+H146+H147+H148</f>
        <v>166764.94592</v>
      </c>
      <c r="I150" s="78">
        <f>I128+I132+I133+I143+I144+I145+I146+I147+I148</f>
        <v>27372.949669999998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144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4.28072</f>
        <v>4.2807199999999996</v>
      </c>
      <c r="F175" s="274">
        <f>202.16458</f>
        <v>202.16458</v>
      </c>
      <c r="G175" s="45">
        <f>D175-F175-F176</f>
        <v>4663.9116700000004</v>
      </c>
      <c r="H175" s="274">
        <f>123.53678</f>
        <v>123.53677999999999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121.92375</f>
        <v>121.92375</v>
      </c>
      <c r="G176" s="215"/>
      <c r="H176" s="154">
        <f>148.04101</f>
        <v>148.04101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3.23098</f>
        <v>3.2309800000000002</v>
      </c>
      <c r="F177" s="174">
        <f>18.29706</f>
        <v>18.297059999999998</v>
      </c>
      <c r="G177" s="174">
        <f>D177-F177</f>
        <v>181.70294000000001</v>
      </c>
      <c r="H177" s="174">
        <f>5.28502</f>
        <v>5.2850200000000003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0.66720000000000002</v>
      </c>
      <c r="F178" s="183">
        <f>F179+F180+F181</f>
        <v>2.4879799999999999</v>
      </c>
      <c r="G178" s="183">
        <f>D178-F178</f>
        <v>7478.5120200000001</v>
      </c>
      <c r="H178" s="183">
        <f>H179+H180+H181</f>
        <v>6.9470200000000002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0.0782</f>
        <v>7.8200000000000006E-2</v>
      </c>
      <c r="F179" s="129">
        <f>0.30392</f>
        <v>0.30392000000000002</v>
      </c>
      <c r="G179" s="129"/>
      <c r="H179" s="129">
        <f>0.29316</f>
        <v>0.29315999999999998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0.589</f>
        <v>0.58899999999999997</v>
      </c>
      <c r="F180" s="129">
        <f>1.59242</f>
        <v>1.5924199999999999</v>
      </c>
      <c r="G180" s="129"/>
      <c r="H180" s="129">
        <f>5.50655</f>
        <v>5.5065499999999998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0.59164</f>
        <v>0.59164000000000005</v>
      </c>
      <c r="G181" s="194"/>
      <c r="H181" s="194">
        <f>1.14731</f>
        <v>1.1473100000000001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8.1788999999999987</v>
      </c>
      <c r="F184" s="196">
        <f>F175+F176+F177+F178+F182+F183</f>
        <v>344.87336999999997</v>
      </c>
      <c r="G184" s="196">
        <f>D184-F184</f>
        <v>12390.126630000001</v>
      </c>
      <c r="H184" s="196">
        <f>H175+H176+H177+H178+H182+H183</f>
        <v>283.80982999999998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73.68653</f>
        <v>73.686530000000005</v>
      </c>
      <c r="F204" s="124">
        <f>4500.94645</f>
        <v>4500.9464500000004</v>
      </c>
      <c r="G204" s="124">
        <f>D204-F204</f>
        <v>39338.053549999997</v>
      </c>
      <c r="H204" s="124">
        <f>1291.38264</f>
        <v>1291.38264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0.3635</f>
        <v>0.36349999999999999</v>
      </c>
      <c r="F205" s="124">
        <f>0.371</f>
        <v>0.371</v>
      </c>
      <c r="G205" s="124">
        <f>D205-F205</f>
        <v>99.629000000000005</v>
      </c>
      <c r="H205" s="124">
        <f>0.1483</f>
        <v>0.14829999999999999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74.050030000000007</v>
      </c>
      <c r="F207" s="190">
        <f>SUM(F204:F206)</f>
        <v>4501.3174500000005</v>
      </c>
      <c r="G207" s="190">
        <f>D207-F207</f>
        <v>39479.682549999998</v>
      </c>
      <c r="H207" s="190">
        <f>SUM(H204:H206)</f>
        <v>1291.5309400000001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3.93668</f>
        <v>3.93668</v>
      </c>
      <c r="F258" s="124">
        <f>49.77605</f>
        <v>49.776049999999998</v>
      </c>
      <c r="G258" s="124">
        <f>D258-F258</f>
        <v>750.22395000000006</v>
      </c>
      <c r="H258" s="124">
        <f>27.43642</f>
        <v>27.436419999999998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17.17629</f>
        <v>17.176290000000002</v>
      </c>
      <c r="F259" s="124">
        <f>252.95401</f>
        <v>252.95401000000001</v>
      </c>
      <c r="G259" s="124">
        <f>D259-F259</f>
        <v>2241.0459900000001</v>
      </c>
      <c r="H259" s="124">
        <f>110.71265</f>
        <v>110.71265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0.057</f>
        <v>5.7000000000000002E-2</v>
      </c>
      <c r="F260" s="168">
        <f>0.09004</f>
        <v>9.0039999999999995E-2</v>
      </c>
      <c r="G260" s="124">
        <f>D260-F260</f>
        <v>4.9099599999999999</v>
      </c>
      <c r="H260" s="168">
        <f>0.243</f>
        <v>0.24299999999999999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</f>
        <v>0</v>
      </c>
      <c r="G261" s="124"/>
      <c r="H261" s="168">
        <f>0.15856</f>
        <v>0.15856000000000001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21.169969999999999</v>
      </c>
      <c r="F262" s="190">
        <f>SUM(F258:F261)</f>
        <v>302.82009999999997</v>
      </c>
      <c r="G262" s="190">
        <f>D262-F262</f>
        <v>2996.1799000000001</v>
      </c>
      <c r="H262" s="190">
        <f>H258+H259+H260+H261</f>
        <v>138.55062999999998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26.887789999999999</v>
      </c>
      <c r="G288" s="251">
        <f t="shared" si="14"/>
        <v>1161.7822000000001</v>
      </c>
      <c r="H288" s="251">
        <f>H292+H291+H290+H289</f>
        <v>14940.2178</v>
      </c>
      <c r="I288" s="251">
        <f t="shared" si="14"/>
        <v>248.80792000000002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884.0745</f>
        <v>884.07449999999994</v>
      </c>
      <c r="H289" s="255">
        <f t="shared" ref="H289:H293" si="15">E289-G289</f>
        <v>7292.9255000000003</v>
      </c>
      <c r="I289" s="255">
        <f>112.0851</f>
        <v>112.0851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5"/>
        <v>2128</v>
      </c>
      <c r="I290" s="255">
        <f>0</f>
        <v>0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26.88779</f>
        <v>26.887789999999999</v>
      </c>
      <c r="G291" s="255">
        <f>259.4519</f>
        <v>259.45190000000002</v>
      </c>
      <c r="H291" s="255">
        <f t="shared" si="15"/>
        <v>1097.5481</v>
      </c>
      <c r="I291" s="255">
        <f>133.59482</f>
        <v>133.59482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0</f>
        <v>0</v>
      </c>
      <c r="G292" s="255">
        <f>18.2558</f>
        <v>18.255800000000001</v>
      </c>
      <c r="H292" s="255">
        <f t="shared" si="15"/>
        <v>4421.7442000000001</v>
      </c>
      <c r="I292" s="255">
        <f>3.128</f>
        <v>3.1280000000000001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0.567</f>
        <v>0.56699999999999995</v>
      </c>
      <c r="G293" s="266">
        <f>18.401</f>
        <v>18.401</v>
      </c>
      <c r="H293" s="266">
        <f t="shared" si="15"/>
        <v>5481.5990000000002</v>
      </c>
      <c r="I293" s="266">
        <f>107.49102</f>
        <v>107.49102000000001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152.25119000000001</v>
      </c>
      <c r="G294" s="267">
        <f>G296+G295</f>
        <v>648.32944999999995</v>
      </c>
      <c r="H294" s="267">
        <f>E294-G294</f>
        <v>7351.6705499999998</v>
      </c>
      <c r="I294" s="267">
        <f>I296+I295</f>
        <v>489.46960000000001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139.3767</f>
        <v>139.3767</v>
      </c>
      <c r="G295" s="255">
        <f>214.8066</f>
        <v>214.8066</v>
      </c>
      <c r="H295" s="255"/>
      <c r="I295" s="255">
        <f>0</f>
        <v>0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12.87449</f>
        <v>12.87449</v>
      </c>
      <c r="G296" s="276">
        <f>433.52285</f>
        <v>433.52285000000001</v>
      </c>
      <c r="H296" s="276"/>
      <c r="I296" s="276">
        <f>489.4696</f>
        <v>489.46960000000001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0.0567</f>
        <v>5.67E-2</v>
      </c>
      <c r="G297" s="266">
        <f>0.0567</f>
        <v>5.67E-2</v>
      </c>
      <c r="H297" s="266">
        <f>E297-G297</f>
        <v>9.9433000000000007</v>
      </c>
      <c r="I297" s="266">
        <f>0.0918</f>
        <v>9.1800000000000007E-2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0.07488</f>
        <v>7.4880000000000002E-2</v>
      </c>
      <c r="G298" s="266">
        <f>1.02448</f>
        <v>1.0244800000000001</v>
      </c>
      <c r="H298" s="266">
        <f>E298-G298</f>
        <v>-1.0244800000000001</v>
      </c>
      <c r="I298" s="266">
        <f>11.90453</f>
        <v>11.904529999999999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179.83756000000002</v>
      </c>
      <c r="G299" s="285">
        <f t="shared" si="16"/>
        <v>1829.5938300000003</v>
      </c>
      <c r="H299" s="285">
        <f>H288+H293+H294+H297+H298</f>
        <v>27782.406169999998</v>
      </c>
      <c r="I299" s="285">
        <f t="shared" si="16"/>
        <v>857.76487000000009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166.00300000000001</v>
      </c>
      <c r="F321" s="26">
        <f>F323+F322</f>
        <v>1035.3280500000001</v>
      </c>
      <c r="G321" s="87">
        <f>D321-F321</f>
        <v>1205.6719499999999</v>
      </c>
      <c r="H321" s="26">
        <f>SUM(H322:H323)</f>
        <v>617.42785000000003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131.3385</f>
        <v>131.33850000000001</v>
      </c>
      <c r="F322" s="207">
        <f>875.52445</f>
        <v>875.52445</v>
      </c>
      <c r="G322" s="208"/>
      <c r="H322" s="207">
        <f>522.06825</f>
        <v>522.06825000000003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34.6645</f>
        <v>34.664499999999997</v>
      </c>
      <c r="F323" s="210">
        <f>159.8036</f>
        <v>159.80359999999999</v>
      </c>
      <c r="G323" s="211"/>
      <c r="H323" s="210">
        <f>95.3596</f>
        <v>95.3596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166.00300000000001</v>
      </c>
      <c r="F331" s="42">
        <f>F321+F324+F327+F330</f>
        <v>1035.3280500000001</v>
      </c>
      <c r="G331" s="43">
        <f>SUM(G321:G330)</f>
        <v>2325.6719499999999</v>
      </c>
      <c r="H331" s="42">
        <f>H321+H324+H327+H330</f>
        <v>617.42785000000003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7&amp;R22.02.2023</oddHeader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2023-02-22T14:16:06Z</dcterms:modified>
</cp:coreProperties>
</file>